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2_0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120" windowHeight="8835" activeTab="0"/>
  </bookViews>
  <sheets>
    <sheet name="Muc luc" sheetId="1" r:id="rId1"/>
    <sheet name="coc chiu luc ngang" sheetId="2" r:id="rId2"/>
    <sheet name="Coc khoan nhoi trong dat dinh" sheetId="3" r:id="rId3"/>
    <sheet name="Coc Khoan N dat roi" sheetId="4" r:id="rId4"/>
    <sheet name="Suc chiu tai coc theo SPT" sheetId="5" r:id="rId5"/>
    <sheet name="ScT theo CPT" sheetId="6" r:id="rId6"/>
    <sheet name="coc chiu keo" sheetId="7" r:id="rId7"/>
  </sheets>
  <definedNames>
    <definedName name="a">'coc chiu luc ngang'!$B$11</definedName>
    <definedName name="anpha">'coc chiu luc ngang'!$B$39</definedName>
    <definedName name="b">'coc chiu luc ngang'!$B$12</definedName>
    <definedName name="btt">'coc chiu luc ngang'!$B$29</definedName>
    <definedName name="ch">'coc chiu luc ngang'!$B$18</definedName>
    <definedName name="coh">'coc chiu luc ngang'!$B$18</definedName>
    <definedName name="d">'coc chiu luc ngang'!$B$12</definedName>
    <definedName name="E">'coc chiu luc ngang'!$B$14</definedName>
    <definedName name="EI">'coc chiu luc ngang'!$C$34</definedName>
    <definedName name="fo">'coc chiu luc ngang'!$C$75</definedName>
    <definedName name="g">'coc chiu luc ngang'!$B$16</definedName>
    <definedName name="h">'coc chiu luc ngang'!$B$13</definedName>
    <definedName name="Ho">'coc chiu luc ngang'!$B$7</definedName>
    <definedName name="j">'coc chiu luc ngang'!$B$17</definedName>
    <definedName name="k">'coc chiu luc ngang'!$C$37</definedName>
    <definedName name="m">'coc chiu luc ngang'!$B$19</definedName>
    <definedName name="Mo">'coc chiu luc ngang'!$B$8</definedName>
    <definedName name="phio">'coc chiu luc ngang'!$C$75</definedName>
    <definedName name="Po">'coc chiu luc ngang'!$B$9</definedName>
    <definedName name="_xlnm.Print_Area" localSheetId="1">'coc chiu luc ngang'!$A$1:$F$204</definedName>
    <definedName name="yo">'coc chiu luc ngang'!$C$74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B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dïng khi mãng ch÷ nhËt</t>
        </r>
      </text>
    </comment>
  </commentList>
</comments>
</file>

<file path=xl/sharedStrings.xml><?xml version="1.0" encoding="utf-8"?>
<sst xmlns="http://schemas.openxmlformats.org/spreadsheetml/2006/main" count="393" uniqueCount="249">
  <si>
    <t>s©u h=</t>
  </si>
  <si>
    <t>E =</t>
  </si>
  <si>
    <t>§Êt nÒn:</t>
  </si>
  <si>
    <t>c=</t>
  </si>
  <si>
    <t>KÕt cÊu mãng:</t>
  </si>
  <si>
    <t>m=</t>
  </si>
  <si>
    <t>m</t>
  </si>
  <si>
    <t>Deg</t>
  </si>
  <si>
    <t>TiÕn hµnh tÝnh to¸n theo ph­¬ng ph¸p chÝnh x¸c cña Zavriev:</t>
  </si>
  <si>
    <t>1. X¸c ®Þnh chiÒu réng tÝnh to¸n:</t>
  </si>
  <si>
    <t>Theo 4-55:</t>
  </si>
  <si>
    <t xml:space="preserve">Trong ®ã </t>
  </si>
  <si>
    <t>TÝnh ®é cøng ngang cña mãng:</t>
  </si>
  <si>
    <t>Theo c«ng thøc 4-103:</t>
  </si>
  <si>
    <t>Theo c¸c c«ng thøc 4-94, 4-95, 4-98 vµ b¶ng 15 cña phô lôc 5</t>
  </si>
  <si>
    <t>T¶i träng t¸c dông</t>
  </si>
  <si>
    <t>M=</t>
  </si>
  <si>
    <t>P=</t>
  </si>
  <si>
    <t>T</t>
  </si>
  <si>
    <t>T.m</t>
  </si>
  <si>
    <t>//</t>
  </si>
  <si>
    <t>rad</t>
  </si>
  <si>
    <t>5. X¸c ®Þnh Moment M(z)</t>
  </si>
  <si>
    <t>Theo c«ng thøc 4-78:</t>
  </si>
  <si>
    <t>Èn</t>
  </si>
  <si>
    <t>6. X¸c ®Þnh ¸p lùc ngang t¹i ®¸y mãng:</t>
  </si>
  <si>
    <t>Theo c«ng thøc 4-80:</t>
  </si>
  <si>
    <t>LËp b¶ng:</t>
  </si>
  <si>
    <t>Trong ®ã m_ HÖ sè nÒn</t>
  </si>
  <si>
    <t>tíi sù chèng ®ì cña ®Êt</t>
  </si>
  <si>
    <r>
      <t>H</t>
    </r>
    <r>
      <rPr>
        <vertAlign val="subscript"/>
        <sz val="10"/>
        <rFont val=".VnArial"/>
        <family val="2"/>
      </rPr>
      <t>o</t>
    </r>
    <r>
      <rPr>
        <sz val="10"/>
        <rFont val=".VnArial"/>
        <family val="0"/>
      </rPr>
      <t>=</t>
    </r>
  </si>
  <si>
    <r>
      <t>T/m</t>
    </r>
    <r>
      <rPr>
        <vertAlign val="superscript"/>
        <sz val="10"/>
        <rFont val=".VnArial"/>
        <family val="2"/>
      </rPr>
      <t>2</t>
    </r>
  </si>
  <si>
    <r>
      <t>g</t>
    </r>
    <r>
      <rPr>
        <sz val="10"/>
        <rFont val=".VnArial"/>
        <family val="0"/>
      </rPr>
      <t xml:space="preserve"> = </t>
    </r>
  </si>
  <si>
    <r>
      <t>T/m</t>
    </r>
    <r>
      <rPr>
        <vertAlign val="superscript"/>
        <sz val="10"/>
        <rFont val=".VnArial"/>
        <family val="2"/>
      </rPr>
      <t>3</t>
    </r>
  </si>
  <si>
    <r>
      <t xml:space="preserve">j </t>
    </r>
    <r>
      <rPr>
        <sz val="10"/>
        <rFont val=".VnArial"/>
        <family val="0"/>
      </rPr>
      <t>=</t>
    </r>
  </si>
  <si>
    <r>
      <t>T/m</t>
    </r>
    <r>
      <rPr>
        <vertAlign val="superscript"/>
        <sz val="10"/>
        <rFont val=".VnArial"/>
        <family val="2"/>
      </rPr>
      <t>4</t>
    </r>
  </si>
  <si>
    <r>
      <t>k</t>
    </r>
    <r>
      <rPr>
        <vertAlign val="subscript"/>
        <sz val="10"/>
        <rFont val=".VnArial"/>
        <family val="2"/>
      </rPr>
      <t>1</t>
    </r>
    <r>
      <rPr>
        <sz val="10"/>
        <rFont val=".VnArial"/>
        <family val="0"/>
      </rPr>
      <t>: HÖ sè kinh nghiÖm kÓ ®Õn ¶nh h­ëng mÆt c¾t ngang cña mãng</t>
    </r>
  </si>
  <si>
    <r>
      <t>k</t>
    </r>
    <r>
      <rPr>
        <vertAlign val="subscript"/>
        <sz val="10"/>
        <rFont val=".VnArial"/>
        <family val="2"/>
      </rPr>
      <t>1</t>
    </r>
    <r>
      <rPr>
        <sz val="10"/>
        <rFont val=".VnArial"/>
        <family val="0"/>
      </rPr>
      <t>=</t>
    </r>
  </si>
  <si>
    <r>
      <t>k</t>
    </r>
    <r>
      <rPr>
        <vertAlign val="subscript"/>
        <sz val="10"/>
        <rFont val=".VnArial"/>
        <family val="2"/>
      </rPr>
      <t>2</t>
    </r>
    <r>
      <rPr>
        <sz val="10"/>
        <rFont val=".VnArial"/>
        <family val="0"/>
      </rPr>
      <t>: HÖ sè kÓ ®Õn sù kh¸c nhau gi÷a bµi to¸n kh«ng gian vµ bµi to¸n ph¼ng</t>
    </r>
  </si>
  <si>
    <r>
      <t>b</t>
    </r>
    <r>
      <rPr>
        <vertAlign val="subscript"/>
        <sz val="10"/>
        <rFont val=".VnArial"/>
        <family val="2"/>
      </rPr>
      <t>tt</t>
    </r>
    <r>
      <rPr>
        <sz val="10"/>
        <rFont val=".VnArial"/>
        <family val="0"/>
      </rPr>
      <t>=</t>
    </r>
  </si>
  <si>
    <r>
      <t xml:space="preserve">2. X¸c ®Þnh hÖ sè tÝnh ®æi </t>
    </r>
    <r>
      <rPr>
        <b/>
        <sz val="10"/>
        <rFont val="Symbol"/>
        <family val="1"/>
      </rPr>
      <t>a</t>
    </r>
    <r>
      <rPr>
        <b/>
        <sz val="10"/>
        <rFont val=".VnArial"/>
        <family val="0"/>
      </rPr>
      <t>:</t>
    </r>
  </si>
  <si>
    <r>
      <t>EI=E.b.a</t>
    </r>
    <r>
      <rPr>
        <vertAlign val="superscript"/>
        <sz val="10"/>
        <rFont val=".VnArial"/>
        <family val="2"/>
      </rPr>
      <t>3</t>
    </r>
    <r>
      <rPr>
        <sz val="10"/>
        <rFont val=".VnArial"/>
        <family val="0"/>
      </rPr>
      <t>/12 =</t>
    </r>
  </si>
  <si>
    <r>
      <t>Tm</t>
    </r>
    <r>
      <rPr>
        <vertAlign val="superscript"/>
        <sz val="10"/>
        <rFont val=".VnArial"/>
        <family val="2"/>
      </rPr>
      <t>2</t>
    </r>
  </si>
  <si>
    <r>
      <t xml:space="preserve">a </t>
    </r>
    <r>
      <rPr>
        <sz val="10"/>
        <rFont val=".VnArial"/>
        <family val="0"/>
      </rPr>
      <t>=</t>
    </r>
  </si>
  <si>
    <r>
      <t xml:space="preserve">3. X¸c ®Þnh c¸c chuyÓn vÞ ®¬n vÞ </t>
    </r>
    <r>
      <rPr>
        <b/>
        <sz val="10"/>
        <rFont val="Symbol"/>
        <family val="1"/>
      </rPr>
      <t>d</t>
    </r>
    <r>
      <rPr>
        <b/>
        <vertAlign val="superscript"/>
        <sz val="10"/>
        <rFont val=".VnArial"/>
        <family val="2"/>
      </rPr>
      <t>o</t>
    </r>
    <r>
      <rPr>
        <b/>
        <sz val="10"/>
        <rFont val=".VnArial"/>
        <family val="0"/>
      </rPr>
      <t>ik cña mãng t¹i cao tr×nh mÆt ®Êt</t>
    </r>
  </si>
  <si>
    <r>
      <t>øng víi h</t>
    </r>
    <r>
      <rPr>
        <vertAlign val="subscript"/>
        <sz val="10"/>
        <rFont val=".VnArial"/>
        <family val="2"/>
      </rPr>
      <t>tb</t>
    </r>
    <r>
      <rPr>
        <sz val="10"/>
        <rFont val=".VnArial"/>
        <family val="0"/>
      </rPr>
      <t>=</t>
    </r>
    <r>
      <rPr>
        <sz val="10"/>
        <rFont val="Symbol"/>
        <family val="1"/>
      </rPr>
      <t>a</t>
    </r>
    <r>
      <rPr>
        <sz val="10"/>
        <rFont val=".VnArial"/>
        <family val="0"/>
      </rPr>
      <t>h=</t>
    </r>
  </si>
  <si>
    <r>
      <t>h</t>
    </r>
    <r>
      <rPr>
        <vertAlign val="subscript"/>
        <sz val="10"/>
        <rFont val=".VnArial"/>
        <family val="2"/>
      </rPr>
      <t>tb</t>
    </r>
  </si>
  <si>
    <r>
      <t>B</t>
    </r>
    <r>
      <rPr>
        <vertAlign val="subscript"/>
        <sz val="10"/>
        <rFont val=".VnArial"/>
        <family val="2"/>
      </rPr>
      <t>3</t>
    </r>
    <r>
      <rPr>
        <sz val="10"/>
        <rFont val=".VnArial"/>
        <family val="0"/>
      </rPr>
      <t>D</t>
    </r>
    <r>
      <rPr>
        <vertAlign val="subscript"/>
        <sz val="10"/>
        <rFont val=".VnArial"/>
        <family val="2"/>
      </rPr>
      <t>4</t>
    </r>
    <r>
      <rPr>
        <sz val="10"/>
        <rFont val=".VnArial"/>
        <family val="0"/>
      </rPr>
      <t>-B</t>
    </r>
    <r>
      <rPr>
        <vertAlign val="subscript"/>
        <sz val="10"/>
        <rFont val=".VnArial"/>
        <family val="2"/>
      </rPr>
      <t>4</t>
    </r>
    <r>
      <rPr>
        <sz val="10"/>
        <rFont val=".VnArial"/>
        <family val="0"/>
      </rPr>
      <t>D</t>
    </r>
    <r>
      <rPr>
        <vertAlign val="subscript"/>
        <sz val="10"/>
        <rFont val=".VnArial"/>
        <family val="2"/>
      </rPr>
      <t>3</t>
    </r>
  </si>
  <si>
    <r>
      <t>B</t>
    </r>
    <r>
      <rPr>
        <vertAlign val="subscript"/>
        <sz val="10"/>
        <rFont val=".VnArial"/>
        <family val="2"/>
      </rPr>
      <t>2</t>
    </r>
    <r>
      <rPr>
        <sz val="10"/>
        <rFont val=".VnArial"/>
        <family val="0"/>
      </rPr>
      <t>D</t>
    </r>
    <r>
      <rPr>
        <vertAlign val="subscript"/>
        <sz val="10"/>
        <rFont val=".VnArial"/>
        <family val="2"/>
      </rPr>
      <t>4</t>
    </r>
    <r>
      <rPr>
        <sz val="10"/>
        <rFont val=".VnArial"/>
        <family val="0"/>
      </rPr>
      <t>-B</t>
    </r>
    <r>
      <rPr>
        <vertAlign val="subscript"/>
        <sz val="10"/>
        <rFont val=".VnArial"/>
        <family val="2"/>
      </rPr>
      <t>4</t>
    </r>
    <r>
      <rPr>
        <sz val="10"/>
        <rFont val=".VnArial"/>
        <family val="0"/>
      </rPr>
      <t>D</t>
    </r>
    <r>
      <rPr>
        <vertAlign val="subscript"/>
        <sz val="10"/>
        <rFont val=".VnArial"/>
        <family val="2"/>
      </rPr>
      <t>2</t>
    </r>
  </si>
  <si>
    <r>
      <t>A</t>
    </r>
    <r>
      <rPr>
        <vertAlign val="subscript"/>
        <sz val="10"/>
        <rFont val=".VnArial"/>
        <family val="2"/>
      </rPr>
      <t>3</t>
    </r>
    <r>
      <rPr>
        <sz val="10"/>
        <rFont val=".VnArial"/>
        <family val="0"/>
      </rPr>
      <t>D</t>
    </r>
    <r>
      <rPr>
        <vertAlign val="subscript"/>
        <sz val="10"/>
        <rFont val=".VnArial"/>
        <family val="2"/>
      </rPr>
      <t>4</t>
    </r>
    <r>
      <rPr>
        <sz val="10"/>
        <rFont val=".VnArial"/>
        <family val="0"/>
      </rPr>
      <t>-A</t>
    </r>
    <r>
      <rPr>
        <vertAlign val="subscript"/>
        <sz val="10"/>
        <rFont val=".VnArial"/>
        <family val="2"/>
      </rPr>
      <t>4</t>
    </r>
    <r>
      <rPr>
        <sz val="10"/>
        <rFont val=".VnArial"/>
        <family val="0"/>
      </rPr>
      <t>D</t>
    </r>
    <r>
      <rPr>
        <vertAlign val="subscript"/>
        <sz val="10"/>
        <rFont val=".VnArial"/>
        <family val="2"/>
      </rPr>
      <t>3</t>
    </r>
  </si>
  <si>
    <r>
      <t>A</t>
    </r>
    <r>
      <rPr>
        <vertAlign val="subscript"/>
        <sz val="10"/>
        <rFont val=".VnArial"/>
        <family val="2"/>
      </rPr>
      <t>2</t>
    </r>
    <r>
      <rPr>
        <sz val="10"/>
        <rFont val=".VnArial"/>
        <family val="0"/>
      </rPr>
      <t>D</t>
    </r>
    <r>
      <rPr>
        <vertAlign val="subscript"/>
        <sz val="10"/>
        <rFont val=".VnArial"/>
        <family val="2"/>
      </rPr>
      <t>4</t>
    </r>
    <r>
      <rPr>
        <sz val="10"/>
        <rFont val=".VnArial"/>
        <family val="0"/>
      </rPr>
      <t>-A</t>
    </r>
    <r>
      <rPr>
        <vertAlign val="subscript"/>
        <sz val="10"/>
        <rFont val=".VnArial"/>
        <family val="2"/>
      </rPr>
      <t>4</t>
    </r>
    <r>
      <rPr>
        <sz val="10"/>
        <rFont val=".VnArial"/>
        <family val="0"/>
      </rPr>
      <t>D</t>
    </r>
    <r>
      <rPr>
        <vertAlign val="subscript"/>
        <sz val="10"/>
        <rFont val=".VnArial"/>
        <family val="2"/>
      </rPr>
      <t>2</t>
    </r>
  </si>
  <si>
    <r>
      <t>A</t>
    </r>
    <r>
      <rPr>
        <vertAlign val="subscript"/>
        <sz val="10"/>
        <rFont val=".VnArial"/>
        <family val="2"/>
      </rPr>
      <t>3</t>
    </r>
  </si>
  <si>
    <r>
      <t>B</t>
    </r>
    <r>
      <rPr>
        <vertAlign val="subscript"/>
        <sz val="10"/>
        <rFont val=".VnArial"/>
        <family val="2"/>
      </rPr>
      <t>3</t>
    </r>
  </si>
  <si>
    <r>
      <t>A</t>
    </r>
    <r>
      <rPr>
        <vertAlign val="subscript"/>
        <sz val="10"/>
        <rFont val=".VnArial"/>
        <family val="2"/>
      </rPr>
      <t>3</t>
    </r>
    <r>
      <rPr>
        <sz val="10"/>
        <rFont val=".VnArial"/>
        <family val="0"/>
      </rPr>
      <t>C</t>
    </r>
    <r>
      <rPr>
        <vertAlign val="subscript"/>
        <sz val="10"/>
        <rFont val=".VnArial"/>
        <family val="2"/>
      </rPr>
      <t>4</t>
    </r>
    <r>
      <rPr>
        <sz val="10"/>
        <rFont val=".VnArial"/>
        <family val="0"/>
      </rPr>
      <t>-A</t>
    </r>
    <r>
      <rPr>
        <vertAlign val="subscript"/>
        <sz val="10"/>
        <rFont val=".VnArial"/>
        <family val="2"/>
      </rPr>
      <t>4</t>
    </r>
    <r>
      <rPr>
        <sz val="10"/>
        <rFont val=".VnArial"/>
        <family val="0"/>
      </rPr>
      <t>C</t>
    </r>
    <r>
      <rPr>
        <vertAlign val="subscript"/>
        <sz val="10"/>
        <rFont val=".VnArial"/>
        <family val="2"/>
      </rPr>
      <t>3</t>
    </r>
  </si>
  <si>
    <r>
      <t>A</t>
    </r>
    <r>
      <rPr>
        <vertAlign val="subscript"/>
        <sz val="10"/>
        <rFont val=".VnArial"/>
        <family val="2"/>
      </rPr>
      <t>2</t>
    </r>
    <r>
      <rPr>
        <sz val="10"/>
        <rFont val=".VnArial"/>
        <family val="0"/>
      </rPr>
      <t>C</t>
    </r>
    <r>
      <rPr>
        <vertAlign val="subscript"/>
        <sz val="10"/>
        <rFont val=".VnArial"/>
        <family val="2"/>
      </rPr>
      <t>4</t>
    </r>
    <r>
      <rPr>
        <sz val="10"/>
        <rFont val=".VnArial"/>
        <family val="0"/>
      </rPr>
      <t>-A</t>
    </r>
    <r>
      <rPr>
        <vertAlign val="subscript"/>
        <sz val="10"/>
        <rFont val=".VnArial"/>
        <family val="2"/>
      </rPr>
      <t>4</t>
    </r>
    <r>
      <rPr>
        <sz val="10"/>
        <rFont val=".VnArial"/>
        <family val="0"/>
      </rPr>
      <t>C</t>
    </r>
    <r>
      <rPr>
        <vertAlign val="subscript"/>
        <sz val="10"/>
        <rFont val=".VnArial"/>
        <family val="2"/>
      </rPr>
      <t>2</t>
    </r>
  </si>
  <si>
    <r>
      <t>A</t>
    </r>
    <r>
      <rPr>
        <vertAlign val="subscript"/>
        <sz val="10"/>
        <rFont val=".VnArial"/>
        <family val="2"/>
      </rPr>
      <t>3</t>
    </r>
    <r>
      <rPr>
        <sz val="10"/>
        <rFont val=".VnArial"/>
        <family val="0"/>
      </rPr>
      <t>B</t>
    </r>
    <r>
      <rPr>
        <vertAlign val="subscript"/>
        <sz val="10"/>
        <rFont val=".VnArial"/>
        <family val="2"/>
      </rPr>
      <t>4</t>
    </r>
    <r>
      <rPr>
        <sz val="10"/>
        <rFont val=".VnArial"/>
        <family val="0"/>
      </rPr>
      <t>-A</t>
    </r>
    <r>
      <rPr>
        <vertAlign val="subscript"/>
        <sz val="10"/>
        <rFont val=".VnArial"/>
        <family val="2"/>
      </rPr>
      <t>4</t>
    </r>
    <r>
      <rPr>
        <sz val="10"/>
        <rFont val=".VnArial"/>
        <family val="0"/>
      </rPr>
      <t>B</t>
    </r>
    <r>
      <rPr>
        <vertAlign val="subscript"/>
        <sz val="10"/>
        <rFont val=".VnArial"/>
        <family val="2"/>
      </rPr>
      <t>3</t>
    </r>
  </si>
  <si>
    <r>
      <t>A</t>
    </r>
    <r>
      <rPr>
        <vertAlign val="subscript"/>
        <sz val="10"/>
        <rFont val=".VnArial"/>
        <family val="2"/>
      </rPr>
      <t>2</t>
    </r>
    <r>
      <rPr>
        <sz val="10"/>
        <rFont val=".VnArial"/>
        <family val="0"/>
      </rPr>
      <t>B</t>
    </r>
    <r>
      <rPr>
        <vertAlign val="subscript"/>
        <sz val="10"/>
        <rFont val=".VnArial"/>
        <family val="2"/>
      </rPr>
      <t>4</t>
    </r>
    <r>
      <rPr>
        <sz val="10"/>
        <rFont val=".VnArial"/>
        <family val="0"/>
      </rPr>
      <t>-A</t>
    </r>
    <r>
      <rPr>
        <vertAlign val="subscript"/>
        <sz val="10"/>
        <rFont val=".VnArial"/>
        <family val="2"/>
      </rPr>
      <t>4</t>
    </r>
    <r>
      <rPr>
        <sz val="10"/>
        <rFont val=".VnArial"/>
        <family val="0"/>
      </rPr>
      <t>B</t>
    </r>
    <r>
      <rPr>
        <vertAlign val="subscript"/>
        <sz val="10"/>
        <rFont val=".VnArial"/>
        <family val="2"/>
      </rPr>
      <t>2</t>
    </r>
  </si>
  <si>
    <r>
      <t>C</t>
    </r>
    <r>
      <rPr>
        <vertAlign val="subscript"/>
        <sz val="10"/>
        <rFont val=".VnArial"/>
        <family val="2"/>
      </rPr>
      <t>3</t>
    </r>
  </si>
  <si>
    <r>
      <t>D</t>
    </r>
    <r>
      <rPr>
        <vertAlign val="subscript"/>
        <sz val="10"/>
        <rFont val=".VnArial"/>
        <family val="2"/>
      </rPr>
      <t>3</t>
    </r>
  </si>
  <si>
    <r>
      <t>d</t>
    </r>
    <r>
      <rPr>
        <vertAlign val="superscript"/>
        <sz val="10"/>
        <rFont val=".VnArial"/>
        <family val="2"/>
      </rPr>
      <t>o</t>
    </r>
    <r>
      <rPr>
        <vertAlign val="subscript"/>
        <sz val="10"/>
        <rFont val=".VnArial"/>
        <family val="2"/>
      </rPr>
      <t>HH</t>
    </r>
    <r>
      <rPr>
        <sz val="10"/>
        <rFont val=".VnArial"/>
        <family val="0"/>
      </rPr>
      <t>=</t>
    </r>
  </si>
  <si>
    <r>
      <t>d</t>
    </r>
    <r>
      <rPr>
        <vertAlign val="superscript"/>
        <sz val="10"/>
        <rFont val=".VnArial"/>
        <family val="2"/>
      </rPr>
      <t>o</t>
    </r>
    <r>
      <rPr>
        <vertAlign val="subscript"/>
        <sz val="10"/>
        <rFont val=".VnArial"/>
        <family val="2"/>
      </rPr>
      <t>HM</t>
    </r>
    <r>
      <rPr>
        <sz val="10"/>
        <rFont val=".VnArial"/>
        <family val="0"/>
      </rPr>
      <t>=</t>
    </r>
  </si>
  <si>
    <r>
      <t>d</t>
    </r>
    <r>
      <rPr>
        <vertAlign val="superscript"/>
        <sz val="10"/>
        <rFont val=".VnArial"/>
        <family val="2"/>
      </rPr>
      <t>o</t>
    </r>
    <r>
      <rPr>
        <vertAlign val="subscript"/>
        <sz val="10"/>
        <rFont val=".VnArial"/>
        <family val="2"/>
      </rPr>
      <t>MM</t>
    </r>
    <r>
      <rPr>
        <sz val="10"/>
        <rFont val=".VnArial"/>
        <family val="0"/>
      </rPr>
      <t>=</t>
    </r>
  </si>
  <si>
    <r>
      <t>4. X¸c ®Þnh y</t>
    </r>
    <r>
      <rPr>
        <b/>
        <vertAlign val="subscript"/>
        <sz val="10"/>
        <rFont val=".VnArial"/>
        <family val="2"/>
      </rPr>
      <t>o</t>
    </r>
    <r>
      <rPr>
        <b/>
        <sz val="10"/>
        <rFont val=".VnArial"/>
        <family val="0"/>
      </rPr>
      <t xml:space="preserve"> vµ </t>
    </r>
    <r>
      <rPr>
        <b/>
        <sz val="10"/>
        <rFont val="Symbol"/>
        <family val="1"/>
      </rPr>
      <t>j</t>
    </r>
    <r>
      <rPr>
        <b/>
        <vertAlign val="subscript"/>
        <sz val="10"/>
        <rFont val=".VnArial"/>
        <family val="2"/>
      </rPr>
      <t>o</t>
    </r>
    <r>
      <rPr>
        <b/>
        <sz val="10"/>
        <rFont val=".VnArial"/>
        <family val="0"/>
      </rPr>
      <t xml:space="preserve"> theo c«ng thøc 4-91 vµ 4-92</t>
    </r>
  </si>
  <si>
    <r>
      <t>y</t>
    </r>
    <r>
      <rPr>
        <vertAlign val="subscript"/>
        <sz val="10"/>
        <rFont val=".VnArial"/>
        <family val="2"/>
      </rPr>
      <t>o</t>
    </r>
    <r>
      <rPr>
        <sz val="10"/>
        <rFont val=".VnArial"/>
        <family val="0"/>
      </rPr>
      <t>=</t>
    </r>
    <r>
      <rPr>
        <sz val="10"/>
        <rFont val="Symbol"/>
        <family val="1"/>
      </rPr>
      <t>d</t>
    </r>
    <r>
      <rPr>
        <vertAlign val="superscript"/>
        <sz val="10"/>
        <rFont val=".VnArial"/>
        <family val="2"/>
      </rPr>
      <t>o</t>
    </r>
    <r>
      <rPr>
        <vertAlign val="subscript"/>
        <sz val="10"/>
        <rFont val=".VnArial"/>
        <family val="2"/>
      </rPr>
      <t>HH</t>
    </r>
    <r>
      <rPr>
        <sz val="10"/>
        <rFont val=".VnArial"/>
        <family val="0"/>
      </rPr>
      <t>H</t>
    </r>
    <r>
      <rPr>
        <vertAlign val="subscript"/>
        <sz val="10"/>
        <rFont val=".VnArial"/>
        <family val="2"/>
      </rPr>
      <t>o</t>
    </r>
    <r>
      <rPr>
        <sz val="10"/>
        <rFont val=".VnArial"/>
        <family val="0"/>
      </rPr>
      <t xml:space="preserve"> + </t>
    </r>
    <r>
      <rPr>
        <sz val="10"/>
        <rFont val="Symbol"/>
        <family val="1"/>
      </rPr>
      <t>d</t>
    </r>
    <r>
      <rPr>
        <vertAlign val="superscript"/>
        <sz val="10"/>
        <rFont val=".VnArial"/>
        <family val="2"/>
      </rPr>
      <t>o</t>
    </r>
    <r>
      <rPr>
        <vertAlign val="subscript"/>
        <sz val="10"/>
        <rFont val=".VnArial"/>
        <family val="2"/>
      </rPr>
      <t>HM</t>
    </r>
    <r>
      <rPr>
        <sz val="10"/>
        <rFont val=".VnArial"/>
        <family val="0"/>
      </rPr>
      <t>M</t>
    </r>
    <r>
      <rPr>
        <vertAlign val="subscript"/>
        <sz val="10"/>
        <rFont val=".VnArial"/>
        <family val="2"/>
      </rPr>
      <t>o</t>
    </r>
    <r>
      <rPr>
        <sz val="10"/>
        <rFont val=".VnArial"/>
        <family val="0"/>
      </rPr>
      <t xml:space="preserve"> =</t>
    </r>
  </si>
  <si>
    <r>
      <t>j</t>
    </r>
    <r>
      <rPr>
        <vertAlign val="subscript"/>
        <sz val="10"/>
        <rFont val=".VnArial"/>
        <family val="2"/>
      </rPr>
      <t>o</t>
    </r>
    <r>
      <rPr>
        <sz val="10"/>
        <rFont val=".VnArial"/>
        <family val="0"/>
      </rPr>
      <t>= - (</t>
    </r>
    <r>
      <rPr>
        <sz val="10"/>
        <rFont val="Symbol"/>
        <family val="1"/>
      </rPr>
      <t>d</t>
    </r>
    <r>
      <rPr>
        <vertAlign val="superscript"/>
        <sz val="10"/>
        <rFont val=".VnArial"/>
        <family val="2"/>
      </rPr>
      <t>o</t>
    </r>
    <r>
      <rPr>
        <vertAlign val="subscript"/>
        <sz val="10"/>
        <rFont val=".VnArial"/>
        <family val="2"/>
      </rPr>
      <t>HM</t>
    </r>
    <r>
      <rPr>
        <sz val="10"/>
        <rFont val=".VnArial"/>
        <family val="0"/>
      </rPr>
      <t>H</t>
    </r>
    <r>
      <rPr>
        <vertAlign val="subscript"/>
        <sz val="10"/>
        <rFont val=".VnArial"/>
        <family val="2"/>
      </rPr>
      <t>o</t>
    </r>
    <r>
      <rPr>
        <sz val="10"/>
        <rFont val=".VnArial"/>
        <family val="0"/>
      </rPr>
      <t xml:space="preserve"> + </t>
    </r>
    <r>
      <rPr>
        <sz val="10"/>
        <rFont val="Symbol"/>
        <family val="1"/>
      </rPr>
      <t>d</t>
    </r>
    <r>
      <rPr>
        <vertAlign val="superscript"/>
        <sz val="10"/>
        <rFont val=".VnArial"/>
        <family val="2"/>
      </rPr>
      <t>o</t>
    </r>
    <r>
      <rPr>
        <vertAlign val="subscript"/>
        <sz val="10"/>
        <rFont val=".VnArial"/>
        <family val="2"/>
      </rPr>
      <t>MM</t>
    </r>
    <r>
      <rPr>
        <sz val="10"/>
        <rFont val=".VnArial"/>
        <family val="0"/>
      </rPr>
      <t>M</t>
    </r>
    <r>
      <rPr>
        <vertAlign val="subscript"/>
        <sz val="10"/>
        <rFont val=".VnArial"/>
        <family val="2"/>
      </rPr>
      <t>o</t>
    </r>
    <r>
      <rPr>
        <sz val="10"/>
        <rFont val=".VnArial"/>
        <family val="0"/>
      </rPr>
      <t>) =</t>
    </r>
  </si>
  <si>
    <r>
      <t>z</t>
    </r>
    <r>
      <rPr>
        <vertAlign val="subscript"/>
        <sz val="10"/>
        <rFont val=".VnArial"/>
        <family val="2"/>
      </rPr>
      <t>tb</t>
    </r>
  </si>
  <si>
    <r>
      <t>y</t>
    </r>
    <r>
      <rPr>
        <vertAlign val="subscript"/>
        <sz val="10"/>
        <rFont val=".VnArial"/>
        <family val="2"/>
      </rPr>
      <t>o</t>
    </r>
    <r>
      <rPr>
        <sz val="10"/>
        <rFont val=".VnArial"/>
        <family val="0"/>
      </rPr>
      <t>A3</t>
    </r>
  </si>
  <si>
    <r>
      <t>j</t>
    </r>
    <r>
      <rPr>
        <vertAlign val="subscript"/>
        <sz val="10"/>
        <rFont val=".VnArial"/>
        <family val="2"/>
      </rPr>
      <t>o</t>
    </r>
    <r>
      <rPr>
        <sz val="10"/>
        <rFont val=".VnArial"/>
        <family val="0"/>
      </rPr>
      <t>B</t>
    </r>
    <r>
      <rPr>
        <vertAlign val="subscript"/>
        <sz val="10"/>
        <rFont val=".VnArial"/>
        <family val="2"/>
      </rPr>
      <t>3</t>
    </r>
    <r>
      <rPr>
        <sz val="10"/>
        <rFont val=".VnArial"/>
        <family val="0"/>
      </rPr>
      <t>/</t>
    </r>
    <r>
      <rPr>
        <sz val="10"/>
        <rFont val="Symbol"/>
        <family val="1"/>
      </rPr>
      <t>a</t>
    </r>
  </si>
  <si>
    <r>
      <t>M</t>
    </r>
    <r>
      <rPr>
        <vertAlign val="subscript"/>
        <sz val="10"/>
        <rFont val=".VnArial"/>
        <family val="2"/>
      </rPr>
      <t>o</t>
    </r>
    <r>
      <rPr>
        <sz val="10"/>
        <rFont val=".VnArial"/>
        <family val="0"/>
      </rPr>
      <t>C</t>
    </r>
    <r>
      <rPr>
        <vertAlign val="subscript"/>
        <sz val="10"/>
        <rFont val=".VnArial"/>
        <family val="2"/>
      </rPr>
      <t>3</t>
    </r>
    <r>
      <rPr>
        <sz val="10"/>
        <rFont val=".VnArial"/>
        <family val="0"/>
      </rPr>
      <t>/</t>
    </r>
    <r>
      <rPr>
        <sz val="10"/>
        <rFont val="Symbol"/>
        <family val="1"/>
      </rPr>
      <t>a</t>
    </r>
    <r>
      <rPr>
        <vertAlign val="superscript"/>
        <sz val="10"/>
        <rFont val=".VnArial"/>
        <family val="2"/>
      </rPr>
      <t>2</t>
    </r>
    <r>
      <rPr>
        <sz val="10"/>
        <rFont val=".VnArial"/>
        <family val="0"/>
      </rPr>
      <t>EI</t>
    </r>
  </si>
  <si>
    <r>
      <t>H</t>
    </r>
    <r>
      <rPr>
        <vertAlign val="subscript"/>
        <sz val="10"/>
        <rFont val=".VnArial"/>
        <family val="2"/>
      </rPr>
      <t>o</t>
    </r>
    <r>
      <rPr>
        <sz val="10"/>
        <rFont val=".VnArial"/>
        <family val="0"/>
      </rPr>
      <t>D</t>
    </r>
    <r>
      <rPr>
        <vertAlign val="subscript"/>
        <sz val="10"/>
        <rFont val=".VnArial"/>
        <family val="2"/>
      </rPr>
      <t>3</t>
    </r>
    <r>
      <rPr>
        <sz val="10"/>
        <rFont val=".VnArial"/>
        <family val="0"/>
      </rPr>
      <t>/</t>
    </r>
    <r>
      <rPr>
        <sz val="10"/>
        <rFont val="Symbol"/>
        <family val="1"/>
      </rPr>
      <t>a</t>
    </r>
    <r>
      <rPr>
        <vertAlign val="superscript"/>
        <sz val="10"/>
        <rFont val=".VnArial"/>
        <family val="2"/>
      </rPr>
      <t>3</t>
    </r>
    <r>
      <rPr>
        <sz val="10"/>
        <rFont val=".VnArial"/>
        <family val="0"/>
      </rPr>
      <t>EI</t>
    </r>
  </si>
  <si>
    <r>
      <t>A</t>
    </r>
    <r>
      <rPr>
        <vertAlign val="subscript"/>
        <sz val="10"/>
        <rFont val=".VnArial"/>
        <family val="2"/>
      </rPr>
      <t>1</t>
    </r>
  </si>
  <si>
    <r>
      <t>B</t>
    </r>
    <r>
      <rPr>
        <vertAlign val="subscript"/>
        <sz val="10"/>
        <rFont val=".VnArial"/>
        <family val="2"/>
      </rPr>
      <t>1</t>
    </r>
  </si>
  <si>
    <r>
      <t>C</t>
    </r>
    <r>
      <rPr>
        <vertAlign val="subscript"/>
        <sz val="10"/>
        <rFont val=".VnArial"/>
        <family val="2"/>
      </rPr>
      <t>1</t>
    </r>
  </si>
  <si>
    <r>
      <t>D</t>
    </r>
    <r>
      <rPr>
        <vertAlign val="subscript"/>
        <sz val="10"/>
        <rFont val=".VnArial"/>
        <family val="2"/>
      </rPr>
      <t>1</t>
    </r>
  </si>
  <si>
    <r>
      <t>y</t>
    </r>
    <r>
      <rPr>
        <vertAlign val="subscript"/>
        <sz val="10"/>
        <rFont val=".VnArial"/>
        <family val="2"/>
      </rPr>
      <t>o</t>
    </r>
    <r>
      <rPr>
        <sz val="10"/>
        <rFont val=".VnArial"/>
        <family val="0"/>
      </rPr>
      <t>A</t>
    </r>
    <r>
      <rPr>
        <vertAlign val="subscript"/>
        <sz val="10"/>
        <rFont val=".VnArial"/>
        <family val="2"/>
      </rPr>
      <t>1</t>
    </r>
  </si>
  <si>
    <r>
      <t>j</t>
    </r>
    <r>
      <rPr>
        <vertAlign val="subscript"/>
        <sz val="10"/>
        <rFont val=".VnArial"/>
        <family val="2"/>
      </rPr>
      <t>o</t>
    </r>
    <r>
      <rPr>
        <sz val="10"/>
        <rFont val=".VnArial"/>
        <family val="0"/>
      </rPr>
      <t>B</t>
    </r>
    <r>
      <rPr>
        <vertAlign val="subscript"/>
        <sz val="10"/>
        <rFont val=".VnArial"/>
        <family val="2"/>
      </rPr>
      <t>1</t>
    </r>
    <r>
      <rPr>
        <sz val="10"/>
        <rFont val=".VnArial"/>
        <family val="0"/>
      </rPr>
      <t>/</t>
    </r>
    <r>
      <rPr>
        <sz val="10"/>
        <rFont val="Symbol"/>
        <family val="1"/>
      </rPr>
      <t>a</t>
    </r>
  </si>
  <si>
    <r>
      <t>M</t>
    </r>
    <r>
      <rPr>
        <vertAlign val="subscript"/>
        <sz val="10"/>
        <rFont val=".VnArial"/>
        <family val="2"/>
      </rPr>
      <t>o</t>
    </r>
    <r>
      <rPr>
        <sz val="10"/>
        <rFont val=".VnArial"/>
        <family val="0"/>
      </rPr>
      <t>C</t>
    </r>
    <r>
      <rPr>
        <vertAlign val="subscript"/>
        <sz val="10"/>
        <rFont val=".VnArial"/>
        <family val="2"/>
      </rPr>
      <t>1</t>
    </r>
    <r>
      <rPr>
        <sz val="10"/>
        <rFont val=".VnArial"/>
        <family val="0"/>
      </rPr>
      <t>/EI</t>
    </r>
    <r>
      <rPr>
        <sz val="10"/>
        <rFont val="Symbol"/>
        <family val="1"/>
      </rPr>
      <t>a</t>
    </r>
    <r>
      <rPr>
        <vertAlign val="superscript"/>
        <sz val="10"/>
        <rFont val=".VnArial"/>
        <family val="2"/>
      </rPr>
      <t>2</t>
    </r>
  </si>
  <si>
    <r>
      <t>H</t>
    </r>
    <r>
      <rPr>
        <vertAlign val="subscript"/>
        <sz val="10"/>
        <rFont val=".VnArial"/>
        <family val="2"/>
      </rPr>
      <t>o</t>
    </r>
    <r>
      <rPr>
        <sz val="10"/>
        <rFont val=".VnArial"/>
        <family val="0"/>
      </rPr>
      <t>D</t>
    </r>
    <r>
      <rPr>
        <vertAlign val="subscript"/>
        <sz val="10"/>
        <rFont val=".VnArial"/>
        <family val="2"/>
      </rPr>
      <t>1</t>
    </r>
    <r>
      <rPr>
        <sz val="10"/>
        <rFont val=".VnArial"/>
        <family val="0"/>
      </rPr>
      <t>/EI</t>
    </r>
    <r>
      <rPr>
        <sz val="10"/>
        <rFont val="Symbol"/>
        <family val="1"/>
      </rPr>
      <t>a</t>
    </r>
    <r>
      <rPr>
        <vertAlign val="superscript"/>
        <sz val="10"/>
        <rFont val=".VnArial"/>
        <family val="2"/>
      </rPr>
      <t>3</t>
    </r>
  </si>
  <si>
    <r>
      <t>s</t>
    </r>
    <r>
      <rPr>
        <vertAlign val="superscript"/>
        <sz val="10"/>
        <rFont val=".VnArial"/>
        <family val="2"/>
      </rPr>
      <t>z</t>
    </r>
    <r>
      <rPr>
        <vertAlign val="subscript"/>
        <sz val="10"/>
        <rFont val=".VnArial"/>
        <family val="2"/>
      </rPr>
      <t>y</t>
    </r>
    <r>
      <rPr>
        <sz val="10"/>
        <rFont val=".VnArial"/>
        <family val="0"/>
      </rPr>
      <t xml:space="preserve"> (T.m)</t>
    </r>
  </si>
  <si>
    <t>TÝnh to¸n:</t>
  </si>
  <si>
    <t>Ngµy</t>
  </si>
  <si>
    <t>Hµ V¨n Khuª</t>
  </si>
  <si>
    <t>1. Søc kh¸ng mòi cäc</t>
  </si>
  <si>
    <r>
      <t>¸</t>
    </r>
    <r>
      <rPr>
        <b/>
        <i/>
        <sz val="10"/>
        <rFont val=".VnArial"/>
        <family val="2"/>
      </rPr>
      <t>p dông cho c¸t vµ bïn kh«ng dÎo</t>
    </r>
  </si>
  <si>
    <t>Trong ®ã:</t>
  </si>
  <si>
    <t>N_ Sè ®Õm SPT ®o ®­îc (Bóa/300mm)</t>
  </si>
  <si>
    <t>D_ ChiÒu réng hay ®­êng kÝnh cäc (mm)</t>
  </si>
  <si>
    <r>
      <t>D</t>
    </r>
    <r>
      <rPr>
        <vertAlign val="subscript"/>
        <sz val="10"/>
        <rFont val=".VnArial"/>
        <family val="2"/>
      </rPr>
      <t>b</t>
    </r>
    <r>
      <rPr>
        <sz val="10"/>
        <rFont val=".VnArial"/>
        <family val="0"/>
      </rPr>
      <t>_ ChiÒu s©u xuyªn trong vïng chÞu lùc (mm)</t>
    </r>
  </si>
  <si>
    <r>
      <t>q</t>
    </r>
    <r>
      <rPr>
        <vertAlign val="subscript"/>
        <sz val="10"/>
        <rFont val=".VnArial"/>
        <family val="2"/>
      </rPr>
      <t>l</t>
    </r>
    <r>
      <rPr>
        <sz val="10"/>
        <rFont val=".VnArial"/>
        <family val="0"/>
      </rPr>
      <t>_ Søc kh¸ng ®iÓm giíi h¹n tÝnh b»ng 0.4N</t>
    </r>
    <r>
      <rPr>
        <vertAlign val="subscript"/>
        <sz val="10"/>
        <rFont val=".VnArial"/>
        <family val="2"/>
      </rPr>
      <t>corr</t>
    </r>
    <r>
      <rPr>
        <sz val="10"/>
        <rFont val=".VnArial"/>
        <family val="0"/>
      </rPr>
      <t xml:space="preserve"> cho c¸t vµ 0.3N</t>
    </r>
    <r>
      <rPr>
        <vertAlign val="subscript"/>
        <sz val="10"/>
        <rFont val=".VnArial"/>
        <family val="2"/>
      </rPr>
      <t>corr</t>
    </r>
    <r>
      <rPr>
        <sz val="10"/>
        <rFont val=".VnArial"/>
        <family val="0"/>
      </rPr>
      <t xml:space="preserve"> cho bïn kh«ng dÎo (Mpa)</t>
    </r>
  </si>
  <si>
    <t>Theo c«ng thøc 10.7.3.4.2a-1</t>
  </si>
  <si>
    <t>B¶ng x-x</t>
  </si>
  <si>
    <t>N</t>
  </si>
  <si>
    <t>§¹i l­îng</t>
  </si>
  <si>
    <t>Gi¸ trÞ</t>
  </si>
  <si>
    <t>§¬n vÞ</t>
  </si>
  <si>
    <t>mm</t>
  </si>
  <si>
    <t>Mpa</t>
  </si>
  <si>
    <t>2. Ma s¸t bÒ mÆt</t>
  </si>
  <si>
    <t>Bóa/300mm</t>
  </si>
  <si>
    <t>Sè bóa ®Õm trung b×nh däc theo th©n cäc:</t>
  </si>
  <si>
    <r>
      <t>N</t>
    </r>
    <r>
      <rPr>
        <vertAlign val="subscript"/>
        <sz val="10"/>
        <rFont val=".VnArial"/>
        <family val="2"/>
      </rPr>
      <t>corr</t>
    </r>
  </si>
  <si>
    <t>D</t>
  </si>
  <si>
    <r>
      <t>D</t>
    </r>
    <r>
      <rPr>
        <vertAlign val="subscript"/>
        <sz val="10"/>
        <rFont val=".VnArial"/>
        <family val="2"/>
      </rPr>
      <t>b</t>
    </r>
  </si>
  <si>
    <r>
      <t>q</t>
    </r>
    <r>
      <rPr>
        <vertAlign val="subscript"/>
        <sz val="10"/>
        <rFont val=".VnArial"/>
        <family val="2"/>
      </rPr>
      <t>l</t>
    </r>
  </si>
  <si>
    <r>
      <t>q</t>
    </r>
    <r>
      <rPr>
        <vertAlign val="subscript"/>
        <sz val="10"/>
        <rFont val=".VnArial"/>
        <family val="2"/>
      </rPr>
      <t>s</t>
    </r>
  </si>
  <si>
    <r>
      <t>s</t>
    </r>
    <r>
      <rPr>
        <sz val="10"/>
        <rFont val=".VnArial"/>
        <family val="0"/>
      </rPr>
      <t>'</t>
    </r>
    <r>
      <rPr>
        <vertAlign val="subscript"/>
        <sz val="10"/>
        <rFont val=".VnArial"/>
        <family val="2"/>
      </rPr>
      <t>v</t>
    </r>
  </si>
  <si>
    <r>
      <t>s</t>
    </r>
    <r>
      <rPr>
        <sz val="10"/>
        <rFont val=".VnArial"/>
        <family val="2"/>
      </rPr>
      <t>'</t>
    </r>
    <r>
      <rPr>
        <vertAlign val="subscript"/>
        <sz val="10"/>
        <rFont val=".VnArial"/>
        <family val="2"/>
      </rPr>
      <t>v</t>
    </r>
    <r>
      <rPr>
        <sz val="10"/>
        <rFont val=".VnArial"/>
        <family val="2"/>
      </rPr>
      <t>_</t>
    </r>
    <r>
      <rPr>
        <sz val="10"/>
        <rFont val=".VnArialH"/>
        <family val="2"/>
      </rPr>
      <t>ø</t>
    </r>
    <r>
      <rPr>
        <sz val="10"/>
        <rFont val=".VnArial"/>
        <family val="2"/>
      </rPr>
      <t>ng suÊt h÷u hiÖu th¼ng ®øng</t>
    </r>
  </si>
  <si>
    <r>
      <t>q</t>
    </r>
    <r>
      <rPr>
        <vertAlign val="subscript"/>
        <sz val="10"/>
        <rFont val=".VnArial"/>
        <family val="2"/>
      </rPr>
      <t>s</t>
    </r>
    <r>
      <rPr>
        <sz val="10"/>
        <rFont val=".VnArial"/>
        <family val="0"/>
      </rPr>
      <t>=</t>
    </r>
  </si>
  <si>
    <t>ii. Sö dông kÕt qu¶ CPT</t>
  </si>
  <si>
    <t>Theo 10.7.3.4.2a-2</t>
  </si>
  <si>
    <r>
      <t>§èi víi cäc ®ãng dÞch chuyÓn, ma s¸t ®¬n vÞ bÒ mÆt q</t>
    </r>
    <r>
      <rPr>
        <vertAlign val="subscript"/>
        <sz val="10"/>
        <rFont val=".VnArial"/>
        <family val="2"/>
      </rPr>
      <t>s</t>
    </r>
    <r>
      <rPr>
        <sz val="10"/>
        <rFont val=".VnArial"/>
        <family val="0"/>
      </rPr>
      <t xml:space="preserve"> theo c«ng thøc 10.7.3.4.2b-1</t>
    </r>
  </si>
  <si>
    <t>Theo c«ng thøc 10.7.3.4.3b-1</t>
  </si>
  <si>
    <t>i. Sö dông kÕt qu¶ SPT</t>
  </si>
  <si>
    <r>
      <t>q</t>
    </r>
    <r>
      <rPr>
        <vertAlign val="subscript"/>
        <sz val="10"/>
        <rFont val=".VnArial"/>
        <family val="2"/>
      </rPr>
      <t>c1</t>
    </r>
    <r>
      <rPr>
        <sz val="10"/>
        <rFont val=".VnArial"/>
        <family val="0"/>
      </rPr>
      <t xml:space="preserve"> vµ q</t>
    </r>
    <r>
      <rPr>
        <vertAlign val="subscript"/>
        <sz val="10"/>
        <rFont val=".VnArial"/>
        <family val="2"/>
      </rPr>
      <t>c2</t>
    </r>
    <r>
      <rPr>
        <sz val="10"/>
        <rFont val=".VnArial"/>
        <family val="0"/>
      </rPr>
      <t>_ gi¸ trÞ trung bÝnh theo quy t¾c ®­êng tèi thiÓu</t>
    </r>
  </si>
  <si>
    <r>
      <t>q</t>
    </r>
    <r>
      <rPr>
        <vertAlign val="subscript"/>
        <sz val="10"/>
        <rFont val=".VnArial"/>
        <family val="2"/>
      </rPr>
      <t>c1</t>
    </r>
    <r>
      <rPr>
        <sz val="10"/>
        <rFont val=".VnArial"/>
        <family val="0"/>
      </rPr>
      <t>=</t>
    </r>
  </si>
  <si>
    <r>
      <t>q</t>
    </r>
    <r>
      <rPr>
        <vertAlign val="subscript"/>
        <sz val="10"/>
        <rFont val=".VnArial"/>
        <family val="2"/>
      </rPr>
      <t>c2</t>
    </r>
    <r>
      <rPr>
        <sz val="10"/>
        <rFont val=".VnArial"/>
        <family val="0"/>
      </rPr>
      <t>=</t>
    </r>
  </si>
  <si>
    <r>
      <t>q</t>
    </r>
    <r>
      <rPr>
        <vertAlign val="subscript"/>
        <sz val="10"/>
        <rFont val=".VnArial"/>
        <family val="2"/>
      </rPr>
      <t>p</t>
    </r>
    <r>
      <rPr>
        <sz val="10"/>
        <rFont val=".VnArial"/>
        <family val="0"/>
      </rPr>
      <t>=</t>
    </r>
  </si>
  <si>
    <t>Theo 10.7.3.4.3c-1</t>
  </si>
  <si>
    <r>
      <t>K</t>
    </r>
    <r>
      <rPr>
        <vertAlign val="subscript"/>
        <sz val="10"/>
        <rFont val=".VnArial"/>
        <family val="2"/>
      </rPr>
      <t>s,c</t>
    </r>
    <r>
      <rPr>
        <sz val="10"/>
        <rFont val=".VnArial"/>
        <family val="0"/>
      </rPr>
      <t>_ C¸c hÖ sè hiÖu chØnh: K</t>
    </r>
    <r>
      <rPr>
        <vertAlign val="subscript"/>
        <sz val="10"/>
        <rFont val=".VnArial"/>
        <family val="2"/>
      </rPr>
      <t>c</t>
    </r>
    <r>
      <rPr>
        <sz val="10"/>
        <rFont val=".VnArial"/>
        <family val="0"/>
      </rPr>
      <t xml:space="preserve"> cho ®Êt c¸t, K</t>
    </r>
    <r>
      <rPr>
        <vertAlign val="subscript"/>
        <sz val="10"/>
        <rFont val=".VnArial"/>
        <family val="2"/>
      </rPr>
      <t>s</t>
    </r>
    <r>
      <rPr>
        <sz val="10"/>
        <rFont val=".VnArial"/>
        <family val="0"/>
      </rPr>
      <t xml:space="preserve"> cho ®Êt c¸t. Tra h×nh 10.7.3.4.3c-1</t>
    </r>
  </si>
  <si>
    <t>D_ ChiÒu réng hoÆc ®­êng kÝnh cäc (mm)</t>
  </si>
  <si>
    <r>
      <t>L</t>
    </r>
    <r>
      <rPr>
        <vertAlign val="subscript"/>
        <sz val="10"/>
        <rFont val=".VnArial"/>
        <family val="2"/>
      </rPr>
      <t>i</t>
    </r>
    <r>
      <rPr>
        <sz val="10"/>
        <rFont val=".VnArial"/>
        <family val="0"/>
      </rPr>
      <t>_ chiÒu s©u tõ gi÷a kho¶ng chiÒu dµi xem xÐt (mm)</t>
    </r>
  </si>
  <si>
    <r>
      <t>f</t>
    </r>
    <r>
      <rPr>
        <vertAlign val="subscript"/>
        <sz val="10"/>
        <rFont val=".VnArial"/>
        <family val="2"/>
      </rPr>
      <t>si</t>
    </r>
    <r>
      <rPr>
        <sz val="10"/>
        <rFont val=".VnArial"/>
        <family val="0"/>
      </rPr>
      <t>_Søc kh¸ng ma s¸t ®¬n vÞ thµnh èng côc bé lÊy tõ CPT t¹i ®iÓm xem xÐt (Mpa)</t>
    </r>
  </si>
  <si>
    <r>
      <t>a</t>
    </r>
    <r>
      <rPr>
        <vertAlign val="subscript"/>
        <sz val="10"/>
        <rFont val=".VnArial"/>
        <family val="2"/>
      </rPr>
      <t>si</t>
    </r>
    <r>
      <rPr>
        <sz val="10"/>
        <rFont val=".VnArial"/>
        <family val="0"/>
      </rPr>
      <t>_ Chu vi cäc t¹i ®iÓm xem xÐt(mm)</t>
    </r>
  </si>
  <si>
    <r>
      <t>h</t>
    </r>
    <r>
      <rPr>
        <vertAlign val="subscript"/>
        <sz val="10"/>
        <rFont val=".VnArial"/>
        <family val="2"/>
      </rPr>
      <t>i</t>
    </r>
    <r>
      <rPr>
        <sz val="10"/>
        <rFont val=".VnArial"/>
        <family val="0"/>
      </rPr>
      <t>_ Kho¶ng chiÒu dµi t¹i ®iÓm xem xÐt</t>
    </r>
  </si>
  <si>
    <r>
      <t>N</t>
    </r>
    <r>
      <rPr>
        <vertAlign val="subscript"/>
        <sz val="10"/>
        <rFont val=".VnArial"/>
        <family val="2"/>
      </rPr>
      <t>1</t>
    </r>
    <r>
      <rPr>
        <sz val="10"/>
        <rFont val=".VnArial"/>
        <family val="0"/>
      </rPr>
      <t>_ Sè kho¶ng gi÷a mÆt ®Êt vµ ®iÓm c¸ch d­íi mÆt ®Êt 8D</t>
    </r>
  </si>
  <si>
    <r>
      <t>N</t>
    </r>
    <r>
      <rPr>
        <vertAlign val="subscript"/>
        <sz val="10"/>
        <rFont val=".VnArial"/>
        <family val="2"/>
      </rPr>
      <t>2</t>
    </r>
    <r>
      <rPr>
        <sz val="10"/>
        <rFont val=".VnArial"/>
        <family val="0"/>
      </rPr>
      <t>_ Sè kho¶ng gi÷a ®iÓm c¸ch d­íi mÆt ®Êt 8D vµ mòi cäc</t>
    </r>
  </si>
  <si>
    <r>
      <t>K</t>
    </r>
    <r>
      <rPr>
        <vertAlign val="subscript"/>
        <sz val="10"/>
        <rFont val=".VnArial"/>
        <family val="2"/>
      </rPr>
      <t>s,c</t>
    </r>
  </si>
  <si>
    <r>
      <t>L</t>
    </r>
    <r>
      <rPr>
        <vertAlign val="subscript"/>
        <sz val="10"/>
        <rFont val=".VnArial"/>
        <family val="2"/>
      </rPr>
      <t>i</t>
    </r>
  </si>
  <si>
    <r>
      <t>f</t>
    </r>
    <r>
      <rPr>
        <vertAlign val="subscript"/>
        <sz val="10"/>
        <rFont val=".VnArial"/>
        <family val="2"/>
      </rPr>
      <t>si</t>
    </r>
  </si>
  <si>
    <r>
      <t>a</t>
    </r>
    <r>
      <rPr>
        <vertAlign val="subscript"/>
        <sz val="10"/>
        <rFont val=".VnArial"/>
        <family val="2"/>
      </rPr>
      <t>si</t>
    </r>
  </si>
  <si>
    <r>
      <t>h</t>
    </r>
    <r>
      <rPr>
        <vertAlign val="subscript"/>
        <sz val="10"/>
        <rFont val=".VnArial"/>
        <family val="2"/>
      </rPr>
      <t>i</t>
    </r>
  </si>
  <si>
    <r>
      <t>N</t>
    </r>
    <r>
      <rPr>
        <vertAlign val="subscript"/>
        <sz val="10"/>
        <rFont val=".VnArial"/>
        <family val="2"/>
      </rPr>
      <t>1</t>
    </r>
  </si>
  <si>
    <r>
      <t>N</t>
    </r>
    <r>
      <rPr>
        <vertAlign val="subscript"/>
        <sz val="10"/>
        <rFont val=".VnArial"/>
        <family val="2"/>
      </rPr>
      <t>2</t>
    </r>
  </si>
  <si>
    <r>
      <t>Q</t>
    </r>
    <r>
      <rPr>
        <vertAlign val="subscript"/>
        <sz val="10"/>
        <rFont val=".VnArial"/>
        <family val="2"/>
      </rPr>
      <t>s</t>
    </r>
  </si>
  <si>
    <t>1. Søc chÞu nhæ cña cäc ®¬n</t>
  </si>
  <si>
    <r>
      <t>Q</t>
    </r>
    <r>
      <rPr>
        <vertAlign val="subscript"/>
        <sz val="10"/>
        <rFont val=".VnArial"/>
        <family val="2"/>
      </rPr>
      <t>R</t>
    </r>
    <r>
      <rPr>
        <sz val="10"/>
        <rFont val=".VnArial"/>
        <family val="0"/>
      </rPr>
      <t xml:space="preserve">= </t>
    </r>
    <r>
      <rPr>
        <sz val="10"/>
        <rFont val="Symbol"/>
        <family val="1"/>
      </rPr>
      <t>j</t>
    </r>
    <r>
      <rPr>
        <vertAlign val="subscript"/>
        <sz val="10"/>
        <rFont val=".VnArial"/>
        <family val="2"/>
      </rPr>
      <t>u</t>
    </r>
    <r>
      <rPr>
        <sz val="10"/>
        <rFont val=".VnArial"/>
        <family val="0"/>
      </rPr>
      <t>Q</t>
    </r>
    <r>
      <rPr>
        <vertAlign val="subscript"/>
        <sz val="10"/>
        <rFont val=".VnArial"/>
        <family val="2"/>
      </rPr>
      <t>s</t>
    </r>
  </si>
  <si>
    <r>
      <t>Q</t>
    </r>
    <r>
      <rPr>
        <vertAlign val="subscript"/>
        <sz val="10"/>
        <rFont val=".VnArial"/>
        <family val="2"/>
      </rPr>
      <t>s</t>
    </r>
    <r>
      <rPr>
        <sz val="10"/>
        <rFont val=".VnArial"/>
        <family val="0"/>
      </rPr>
      <t>_ Kh¶ n¨ng kh¸ng nhæ danh ®Þnh do søc kh¸ng th©n cäc (N)</t>
    </r>
  </si>
  <si>
    <r>
      <t>j</t>
    </r>
    <r>
      <rPr>
        <vertAlign val="subscript"/>
        <sz val="10"/>
        <rFont val=".VnArial"/>
        <family val="2"/>
      </rPr>
      <t>u</t>
    </r>
    <r>
      <rPr>
        <sz val="10"/>
        <rFont val=".VnArial"/>
        <family val="0"/>
      </rPr>
      <t>_ HÖ sè søc kh¸ng nhæ lÊy theo b¶ng 10.5.5-2</t>
    </r>
  </si>
  <si>
    <t>2. Søc chÞu nhæ cña nhãm cäc</t>
  </si>
  <si>
    <r>
      <t>Q</t>
    </r>
    <r>
      <rPr>
        <vertAlign val="subscript"/>
        <sz val="10"/>
        <rFont val=".VnArial"/>
        <family val="2"/>
      </rPr>
      <t>R</t>
    </r>
    <r>
      <rPr>
        <sz val="10"/>
        <rFont val=".VnArial"/>
        <family val="0"/>
      </rPr>
      <t xml:space="preserve">= </t>
    </r>
    <r>
      <rPr>
        <sz val="10"/>
        <rFont val="Symbol"/>
        <family val="1"/>
      </rPr>
      <t>j</t>
    </r>
    <r>
      <rPr>
        <vertAlign val="subscript"/>
        <sz val="10"/>
        <rFont val=".VnArial"/>
        <family val="2"/>
      </rPr>
      <t>ug</t>
    </r>
    <r>
      <rPr>
        <sz val="10"/>
        <rFont val=".VnArial"/>
        <family val="0"/>
      </rPr>
      <t>Q</t>
    </r>
    <r>
      <rPr>
        <vertAlign val="subscript"/>
        <sz val="10"/>
        <rFont val=".VnArial"/>
        <family val="2"/>
      </rPr>
      <t>sg</t>
    </r>
  </si>
  <si>
    <r>
      <t>Q</t>
    </r>
    <r>
      <rPr>
        <vertAlign val="subscript"/>
        <sz val="10"/>
        <rFont val=".VnArial"/>
        <family val="2"/>
      </rPr>
      <t>sg</t>
    </r>
    <r>
      <rPr>
        <sz val="10"/>
        <rFont val=".VnArial"/>
        <family val="0"/>
      </rPr>
      <t>_ Kh¶ n¨ng kh¸ng nhæ danh ®Þnh nhãm cäc (N)</t>
    </r>
  </si>
  <si>
    <r>
      <t>j</t>
    </r>
    <r>
      <rPr>
        <vertAlign val="subscript"/>
        <sz val="10"/>
        <rFont val=".VnArial"/>
        <family val="2"/>
      </rPr>
      <t>ug</t>
    </r>
    <r>
      <rPr>
        <sz val="10"/>
        <rFont val=".VnArial"/>
        <family val="0"/>
      </rPr>
      <t>_ HÖ sè søc kh¸ng nhæ lÊy theo b¶ng 10.5.5-2</t>
    </r>
  </si>
  <si>
    <r>
      <t>Q</t>
    </r>
    <r>
      <rPr>
        <vertAlign val="subscript"/>
        <sz val="10"/>
        <rFont val=".VnArial"/>
        <family val="2"/>
      </rPr>
      <t xml:space="preserve">sg </t>
    </r>
    <r>
      <rPr>
        <sz val="10"/>
        <rFont val=".VnArial"/>
        <family val="0"/>
      </rPr>
      <t xml:space="preserve">&lt; </t>
    </r>
    <r>
      <rPr>
        <sz val="12"/>
        <rFont val="Symbol"/>
        <family val="1"/>
      </rPr>
      <t>S</t>
    </r>
    <r>
      <rPr>
        <sz val="10"/>
        <rFont val=".VnArial"/>
        <family val="0"/>
      </rPr>
      <t>Q</t>
    </r>
    <r>
      <rPr>
        <vertAlign val="subscript"/>
        <sz val="10"/>
        <rFont val=".VnArial"/>
        <family val="2"/>
      </rPr>
      <t>s</t>
    </r>
  </si>
  <si>
    <t xml:space="preserve"> </t>
  </si>
  <si>
    <t>Theo ®iÒu 10.7.3.2</t>
  </si>
  <si>
    <r>
      <t>Søc kh¸ng ®ì tÝnh to¸n cña cäc Q</t>
    </r>
    <r>
      <rPr>
        <vertAlign val="subscript"/>
        <sz val="10"/>
        <rFont val=".VnArial"/>
        <family val="2"/>
      </rPr>
      <t>R</t>
    </r>
    <r>
      <rPr>
        <sz val="10"/>
        <rFont val=".VnArial"/>
        <family val="0"/>
      </rPr>
      <t xml:space="preserve"> tÝnh nh­ sau:</t>
    </r>
  </si>
  <si>
    <r>
      <t>Q</t>
    </r>
    <r>
      <rPr>
        <vertAlign val="subscript"/>
        <sz val="10"/>
        <rFont val=".VnArial"/>
        <family val="2"/>
      </rPr>
      <t xml:space="preserve">R </t>
    </r>
    <r>
      <rPr>
        <sz val="10"/>
        <rFont val=".VnArial"/>
        <family val="0"/>
      </rPr>
      <t xml:space="preserve">= </t>
    </r>
    <r>
      <rPr>
        <sz val="10"/>
        <rFont val="Symbol"/>
        <family val="1"/>
      </rPr>
      <t>j</t>
    </r>
    <r>
      <rPr>
        <sz val="10"/>
        <rFont val=".VnArial"/>
        <family val="0"/>
      </rPr>
      <t>Q</t>
    </r>
    <r>
      <rPr>
        <vertAlign val="subscript"/>
        <sz val="10"/>
        <rFont val=".VnArial"/>
        <family val="2"/>
      </rPr>
      <t>n</t>
    </r>
    <r>
      <rPr>
        <sz val="10"/>
        <rFont val=".VnArial"/>
        <family val="0"/>
      </rPr>
      <t xml:space="preserve"> = </t>
    </r>
    <r>
      <rPr>
        <sz val="10"/>
        <rFont val="Symbol"/>
        <family val="1"/>
      </rPr>
      <t>j</t>
    </r>
    <r>
      <rPr>
        <vertAlign val="subscript"/>
        <sz val="10"/>
        <rFont val=".VnArial"/>
        <family val="2"/>
      </rPr>
      <t>q</t>
    </r>
    <r>
      <rPr>
        <sz val="10"/>
        <rFont val=".VnArial"/>
        <family val="0"/>
      </rPr>
      <t>Q</t>
    </r>
    <r>
      <rPr>
        <vertAlign val="subscript"/>
        <sz val="10"/>
        <rFont val=".VnArial"/>
        <family val="2"/>
      </rPr>
      <t>ult</t>
    </r>
  </si>
  <si>
    <t>hay</t>
  </si>
  <si>
    <r>
      <t>Q</t>
    </r>
    <r>
      <rPr>
        <vertAlign val="subscript"/>
        <sz val="10"/>
        <rFont val=".VnArial"/>
        <family val="2"/>
      </rPr>
      <t xml:space="preserve">R </t>
    </r>
    <r>
      <rPr>
        <sz val="10"/>
        <rFont val=".VnArial"/>
        <family val="0"/>
      </rPr>
      <t xml:space="preserve">= </t>
    </r>
    <r>
      <rPr>
        <sz val="10"/>
        <rFont val="Symbol"/>
        <family val="1"/>
      </rPr>
      <t>j</t>
    </r>
    <r>
      <rPr>
        <sz val="10"/>
        <rFont val=".VnArial"/>
        <family val="0"/>
      </rPr>
      <t>Q</t>
    </r>
    <r>
      <rPr>
        <vertAlign val="subscript"/>
        <sz val="10"/>
        <rFont val=".VnArial"/>
        <family val="2"/>
      </rPr>
      <t>n</t>
    </r>
    <r>
      <rPr>
        <sz val="10"/>
        <rFont val=".VnArial"/>
        <family val="0"/>
      </rPr>
      <t xml:space="preserve"> = </t>
    </r>
    <r>
      <rPr>
        <sz val="10"/>
        <rFont val="Symbol"/>
        <family val="1"/>
      </rPr>
      <t>j</t>
    </r>
    <r>
      <rPr>
        <vertAlign val="subscript"/>
        <sz val="10"/>
        <rFont val=".VnArial"/>
        <family val="2"/>
      </rPr>
      <t>qp</t>
    </r>
    <r>
      <rPr>
        <sz val="10"/>
        <rFont val=".VnArial"/>
        <family val="0"/>
      </rPr>
      <t>Q</t>
    </r>
    <r>
      <rPr>
        <vertAlign val="subscript"/>
        <sz val="10"/>
        <rFont val=".VnArial"/>
        <family val="2"/>
      </rPr>
      <t>p+</t>
    </r>
    <r>
      <rPr>
        <sz val="10"/>
        <rFont val="Symbol"/>
        <family val="1"/>
      </rPr>
      <t>j</t>
    </r>
    <r>
      <rPr>
        <vertAlign val="subscript"/>
        <sz val="10"/>
        <rFont val=".VnArial"/>
        <family val="2"/>
      </rPr>
      <t>qs</t>
    </r>
    <r>
      <rPr>
        <sz val="10"/>
        <rFont val=".VnArial"/>
        <family val="2"/>
      </rPr>
      <t>Q</t>
    </r>
    <r>
      <rPr>
        <vertAlign val="subscript"/>
        <sz val="10"/>
        <rFont val=".VnArial"/>
        <family val="2"/>
      </rPr>
      <t>s</t>
    </r>
  </si>
  <si>
    <r>
      <t>j</t>
    </r>
    <r>
      <rPr>
        <vertAlign val="subscript"/>
        <sz val="10"/>
        <rFont val=".VnArial"/>
        <family val="2"/>
      </rPr>
      <t>q</t>
    </r>
    <r>
      <rPr>
        <sz val="10"/>
        <rFont val=".VnArial"/>
        <family val="0"/>
      </rPr>
      <t>_ hÖ sè søc kh¸ng ®ì cña 1 cäc ®¬n</t>
    </r>
  </si>
  <si>
    <r>
      <t>Q</t>
    </r>
    <r>
      <rPr>
        <vertAlign val="subscript"/>
        <sz val="10"/>
        <rFont val=".VnArial"/>
        <family val="2"/>
      </rPr>
      <t>ult</t>
    </r>
    <r>
      <rPr>
        <sz val="10"/>
        <rFont val=".VnArial"/>
        <family val="0"/>
      </rPr>
      <t>_ Søc kh¸ng ®ì cña 1 cäc ®¬n</t>
    </r>
  </si>
  <si>
    <r>
      <t>Q</t>
    </r>
    <r>
      <rPr>
        <vertAlign val="subscript"/>
        <sz val="10"/>
        <rFont val=".VnArial"/>
        <family val="2"/>
      </rPr>
      <t>p</t>
    </r>
    <r>
      <rPr>
        <sz val="10"/>
        <rFont val=".VnArial"/>
        <family val="0"/>
      </rPr>
      <t>_ Søc kh¸ng mòi cäc</t>
    </r>
  </si>
  <si>
    <r>
      <t>q</t>
    </r>
    <r>
      <rPr>
        <vertAlign val="subscript"/>
        <sz val="10"/>
        <rFont val=".VnArial"/>
        <family val="2"/>
      </rPr>
      <t>p</t>
    </r>
    <r>
      <rPr>
        <sz val="10"/>
        <rFont val=".VnArial"/>
        <family val="0"/>
      </rPr>
      <t>_ Søc kh¸ng ®¬n vÞ mòi cäc</t>
    </r>
  </si>
  <si>
    <r>
      <t>q</t>
    </r>
    <r>
      <rPr>
        <vertAlign val="subscript"/>
        <sz val="10"/>
        <rFont val=".VnArial"/>
        <family val="2"/>
      </rPr>
      <t>s</t>
    </r>
    <r>
      <rPr>
        <sz val="10"/>
        <rFont val=".VnArial"/>
        <family val="0"/>
      </rPr>
      <t>_ Søc kh¸ng ®¬n vÞ th©n cäc</t>
    </r>
  </si>
  <si>
    <r>
      <t>j</t>
    </r>
    <r>
      <rPr>
        <vertAlign val="subscript"/>
        <sz val="10"/>
        <rFont val=".VnArial"/>
        <family val="2"/>
      </rPr>
      <t>qp</t>
    </r>
    <r>
      <rPr>
        <sz val="10"/>
        <rFont val=".VnArial"/>
        <family val="0"/>
      </rPr>
      <t>_ HÖ sè søc kh¸ng mòi cäc dïng cho c¸c ph­¬ng ph¸p t¸ch rêi søc kh¸ng cña cäc do</t>
    </r>
  </si>
  <si>
    <t>søc kh¸ng cña mòi cäc vµ søc kh¸ng th©n cäc lÊy theo b¶ng 10.5.5-2</t>
  </si>
  <si>
    <r>
      <t>j</t>
    </r>
    <r>
      <rPr>
        <vertAlign val="subscript"/>
        <sz val="10"/>
        <rFont val=".VnArial"/>
        <family val="2"/>
      </rPr>
      <t>qp</t>
    </r>
    <r>
      <rPr>
        <sz val="10"/>
        <rFont val=".VnArial"/>
        <family val="0"/>
      </rPr>
      <t>_ HÖ sè søc kh¸ng th©n cäc dïng cho c¸c ph­¬ng ph¸p t¸ch rêi søc kh¸ng cña cäc do</t>
    </r>
  </si>
  <si>
    <t>Víi</t>
  </si>
  <si>
    <r>
      <t>Q</t>
    </r>
    <r>
      <rPr>
        <vertAlign val="subscript"/>
        <sz val="10"/>
        <rFont val=".VnArial"/>
        <family val="2"/>
      </rPr>
      <t>p</t>
    </r>
    <r>
      <rPr>
        <sz val="10"/>
        <rFont val=".VnArial"/>
        <family val="0"/>
      </rPr>
      <t>=q</t>
    </r>
    <r>
      <rPr>
        <vertAlign val="subscript"/>
        <sz val="10"/>
        <rFont val=".VnArial"/>
        <family val="2"/>
      </rPr>
      <t>p</t>
    </r>
    <r>
      <rPr>
        <sz val="10"/>
        <rFont val=".VnArial"/>
        <family val="0"/>
      </rPr>
      <t>A</t>
    </r>
    <r>
      <rPr>
        <vertAlign val="subscript"/>
        <sz val="10"/>
        <rFont val=".VnArial"/>
        <family val="2"/>
      </rPr>
      <t>p</t>
    </r>
  </si>
  <si>
    <r>
      <t>Q</t>
    </r>
    <r>
      <rPr>
        <vertAlign val="subscript"/>
        <sz val="10"/>
        <rFont val=".VnArial"/>
        <family val="2"/>
      </rPr>
      <t>s</t>
    </r>
    <r>
      <rPr>
        <sz val="10"/>
        <rFont val=".VnArial"/>
        <family val="0"/>
      </rPr>
      <t>= q</t>
    </r>
    <r>
      <rPr>
        <vertAlign val="subscript"/>
        <sz val="10"/>
        <rFont val=".VnArial"/>
        <family val="2"/>
      </rPr>
      <t>s</t>
    </r>
    <r>
      <rPr>
        <sz val="10"/>
        <rFont val=".VnArial"/>
        <family val="0"/>
      </rPr>
      <t>A</t>
    </r>
    <r>
      <rPr>
        <vertAlign val="subscript"/>
        <sz val="10"/>
        <rFont val=".VnArial"/>
        <family val="2"/>
      </rPr>
      <t>s</t>
    </r>
  </si>
  <si>
    <r>
      <t>q</t>
    </r>
    <r>
      <rPr>
        <vertAlign val="subscript"/>
        <sz val="10"/>
        <rFont val=".VnArial"/>
        <family val="2"/>
      </rPr>
      <t>s</t>
    </r>
    <r>
      <rPr>
        <sz val="10"/>
        <rFont val=".VnArial"/>
        <family val="0"/>
      </rPr>
      <t xml:space="preserve">= </t>
    </r>
    <r>
      <rPr>
        <sz val="10"/>
        <rFont val="Symbol"/>
        <family val="1"/>
      </rPr>
      <t>a</t>
    </r>
    <r>
      <rPr>
        <sz val="10"/>
        <rFont val=".VnArial"/>
        <family val="0"/>
      </rPr>
      <t>S</t>
    </r>
    <r>
      <rPr>
        <vertAlign val="subscript"/>
        <sz val="10"/>
        <rFont val=".VnArial"/>
        <family val="2"/>
      </rPr>
      <t>u</t>
    </r>
  </si>
  <si>
    <r>
      <t>S</t>
    </r>
    <r>
      <rPr>
        <vertAlign val="subscript"/>
        <sz val="10"/>
        <rFont val=".VnArial"/>
        <family val="2"/>
      </rPr>
      <t>u</t>
    </r>
    <r>
      <rPr>
        <sz val="10"/>
        <rFont val=".VnArial"/>
        <family val="0"/>
      </rPr>
      <t>_ C­êng ®é kh¸ng c¾t kh«ng tho¸t n­íc</t>
    </r>
  </si>
  <si>
    <r>
      <t>a</t>
    </r>
    <r>
      <rPr>
        <sz val="10"/>
        <rFont val=".VnArial"/>
        <family val="0"/>
      </rPr>
      <t>_ HÖ sè dÝnh b¸m, lÊy theo b¶ng 10.8.3.3.1-1</t>
    </r>
  </si>
  <si>
    <t>t¶i träng kh«ng tho¸t n­íc cã thÓ tinh nh­ sau:</t>
  </si>
  <si>
    <t>2. Søc kh¸ng mòi cäc</t>
  </si>
  <si>
    <t>§èi víi ®Êt dÝnh</t>
  </si>
  <si>
    <r>
      <t>q</t>
    </r>
    <r>
      <rPr>
        <vertAlign val="subscript"/>
        <sz val="10"/>
        <rFont val=".VnArial"/>
        <family val="2"/>
      </rPr>
      <t>p</t>
    </r>
    <r>
      <rPr>
        <sz val="10"/>
        <rFont val=".VnArial"/>
        <family val="0"/>
      </rPr>
      <t>=N</t>
    </r>
    <r>
      <rPr>
        <vertAlign val="subscript"/>
        <sz val="10"/>
        <rFont val=".VnArial"/>
        <family val="2"/>
      </rPr>
      <t>c</t>
    </r>
    <r>
      <rPr>
        <sz val="10"/>
        <rFont val=".VnArial"/>
        <family val="0"/>
      </rPr>
      <t>S</t>
    </r>
    <r>
      <rPr>
        <vertAlign val="subscript"/>
        <sz val="10"/>
        <rFont val=".VnArial"/>
        <family val="2"/>
      </rPr>
      <t>u</t>
    </r>
    <r>
      <rPr>
        <sz val="10"/>
        <rFont val=".VnArial"/>
        <family val="0"/>
      </rPr>
      <t xml:space="preserve"> &lt;=4.0</t>
    </r>
  </si>
  <si>
    <t>víi</t>
  </si>
  <si>
    <r>
      <t>N</t>
    </r>
    <r>
      <rPr>
        <vertAlign val="subscript"/>
        <sz val="10"/>
        <rFont val=".VnArial"/>
        <family val="2"/>
      </rPr>
      <t>c</t>
    </r>
    <r>
      <rPr>
        <sz val="10"/>
        <rFont val=".VnArial"/>
        <family val="0"/>
      </rPr>
      <t xml:space="preserve">= 6[1+0.2(Z/D)]&lt;=9 </t>
    </r>
  </si>
  <si>
    <t>D_ §­êng kÝnh cäc khoan</t>
  </si>
  <si>
    <t>Z_ §é xuyªn cäc khoan</t>
  </si>
  <si>
    <t>Søc kh¸ng bªn danh ®Þnh cho cäc khoan trong ®Êt dÝnh, chÞu t¶i träng d­íi ®iÒu kiÖn</t>
  </si>
  <si>
    <t>1. Søc kh¸ng th©n cäc</t>
  </si>
  <si>
    <t>Theo REESE vµ O'NEILL (1988)</t>
  </si>
  <si>
    <r>
      <t>b</t>
    </r>
    <r>
      <rPr>
        <sz val="10"/>
        <rFont val=".VnArial"/>
        <family val="0"/>
      </rPr>
      <t>=1.5-7.7*10</t>
    </r>
    <r>
      <rPr>
        <vertAlign val="superscript"/>
        <sz val="10"/>
        <rFont val=".VnArial"/>
        <family val="2"/>
      </rPr>
      <t>-3</t>
    </r>
    <r>
      <rPr>
        <sz val="10"/>
        <rFont val=".VnArial"/>
        <family val="0"/>
      </rPr>
      <t>*z</t>
    </r>
    <r>
      <rPr>
        <vertAlign val="superscript"/>
        <sz val="10"/>
        <rFont val=".VnArial"/>
        <family val="2"/>
      </rPr>
      <t>1/2</t>
    </r>
  </si>
  <si>
    <r>
      <t>q</t>
    </r>
    <r>
      <rPr>
        <vertAlign val="subscript"/>
        <sz val="10"/>
        <rFont val=".VnArial"/>
        <family val="2"/>
      </rPr>
      <t>s</t>
    </r>
    <r>
      <rPr>
        <sz val="10"/>
        <rFont val=".VnArial"/>
        <family val="0"/>
      </rPr>
      <t>=</t>
    </r>
    <r>
      <rPr>
        <sz val="10"/>
        <rFont val="Symbol"/>
        <family val="1"/>
      </rPr>
      <t>bs</t>
    </r>
    <r>
      <rPr>
        <vertAlign val="subscript"/>
        <sz val="10"/>
        <rFont val=".VnArial"/>
        <family val="2"/>
      </rPr>
      <t xml:space="preserve">v </t>
    </r>
    <r>
      <rPr>
        <sz val="10"/>
        <rFont val=".VnArial"/>
        <family val="0"/>
      </rPr>
      <t>&lt;=0.19</t>
    </r>
  </si>
  <si>
    <r>
      <t xml:space="preserve">0.25&lt;= </t>
    </r>
    <r>
      <rPr>
        <sz val="10"/>
        <rFont val="Symbol"/>
        <family val="1"/>
      </rPr>
      <t>b</t>
    </r>
    <r>
      <rPr>
        <sz val="10"/>
        <rFont val=".VnArial"/>
        <family val="0"/>
      </rPr>
      <t xml:space="preserve"> &lt;=1.2</t>
    </r>
  </si>
  <si>
    <t>Theo REESE vµ WRIGHT (1977)</t>
  </si>
  <si>
    <t>N &lt;=53</t>
  </si>
  <si>
    <r>
      <t>q</t>
    </r>
    <r>
      <rPr>
        <vertAlign val="subscript"/>
        <sz val="10"/>
        <rFont val=".VnArial"/>
        <family val="2"/>
      </rPr>
      <t>s</t>
    </r>
    <r>
      <rPr>
        <sz val="10"/>
        <rFont val=".VnArial"/>
        <family val="0"/>
      </rPr>
      <t>= 0.0028N</t>
    </r>
  </si>
  <si>
    <t>53&lt; N &lt;=100</t>
  </si>
  <si>
    <r>
      <t>q</t>
    </r>
    <r>
      <rPr>
        <vertAlign val="subscript"/>
        <sz val="10"/>
        <rFont val=".VnArial"/>
        <family val="2"/>
      </rPr>
      <t>s</t>
    </r>
    <r>
      <rPr>
        <sz val="10"/>
        <rFont val=".VnArial"/>
        <family val="0"/>
      </rPr>
      <t>= 0.00021 (N-53) + 0.15</t>
    </r>
  </si>
  <si>
    <t>víi N &lt;=75</t>
  </si>
  <si>
    <t>víi N &gt; 75</t>
  </si>
  <si>
    <t>víi N &lt;=60</t>
  </si>
  <si>
    <t>víi N &gt; 60</t>
  </si>
  <si>
    <t>H­íng dÉn:</t>
  </si>
  <si>
    <t>§­êng kÝnh d=</t>
  </si>
  <si>
    <r>
      <t>b</t>
    </r>
    <r>
      <rPr>
        <vertAlign val="subscript"/>
        <sz val="10"/>
        <rFont val=".VnArial"/>
        <family val="2"/>
      </rPr>
      <t>tt</t>
    </r>
    <r>
      <rPr>
        <sz val="10"/>
        <rFont val=".VnArial"/>
        <family val="0"/>
      </rPr>
      <t>=k</t>
    </r>
    <r>
      <rPr>
        <vertAlign val="subscript"/>
        <sz val="10"/>
        <rFont val=".VnArial"/>
        <family val="2"/>
      </rPr>
      <t>1</t>
    </r>
    <r>
      <rPr>
        <sz val="10"/>
        <rFont val=".VnArial"/>
        <family val="0"/>
      </rPr>
      <t>k</t>
    </r>
    <r>
      <rPr>
        <vertAlign val="subscript"/>
        <sz val="10"/>
        <rFont val=".VnArial"/>
        <family val="2"/>
      </rPr>
      <t>2</t>
    </r>
    <r>
      <rPr>
        <sz val="10"/>
        <rFont val=".VnArial"/>
        <family val="0"/>
      </rPr>
      <t>d</t>
    </r>
  </si>
  <si>
    <r>
      <t>k</t>
    </r>
    <r>
      <rPr>
        <vertAlign val="subscript"/>
        <sz val="10"/>
        <rFont val=".VnArial"/>
        <family val="2"/>
      </rPr>
      <t>2</t>
    </r>
    <r>
      <rPr>
        <sz val="10"/>
        <rFont val=".VnArial"/>
        <family val="0"/>
      </rPr>
      <t>=1+1/d=</t>
    </r>
  </si>
  <si>
    <t>Mãng Ch÷ nhËt</t>
  </si>
  <si>
    <r>
      <t>EI=E*0.05d</t>
    </r>
    <r>
      <rPr>
        <vertAlign val="superscript"/>
        <sz val="10"/>
        <rFont val=".VnArial"/>
        <family val="2"/>
      </rPr>
      <t>4</t>
    </r>
    <r>
      <rPr>
        <sz val="10"/>
        <rFont val=".VnArial"/>
        <family val="0"/>
      </rPr>
      <t xml:space="preserve"> =</t>
    </r>
  </si>
  <si>
    <r>
      <t>I</t>
    </r>
    <r>
      <rPr>
        <vertAlign val="subscript"/>
        <sz val="10"/>
        <rFont val=".VnArial"/>
        <family val="2"/>
      </rPr>
      <t>d</t>
    </r>
    <r>
      <rPr>
        <sz val="10"/>
        <rFont val=".VnArial"/>
        <family val="0"/>
      </rPr>
      <t>_ M« men qu¸n tÝnh tiÕt diÖn ®¸y mãng</t>
    </r>
  </si>
  <si>
    <t>I_ M« men qu¸n tÝnh tiÕt diÖn th©n cäc</t>
  </si>
  <si>
    <t>Tra b¶ng 15 - Phô lôc V:</t>
  </si>
  <si>
    <r>
      <t>C'</t>
    </r>
    <r>
      <rPr>
        <vertAlign val="subscript"/>
        <sz val="10"/>
        <rFont val=".VnArial"/>
        <family val="2"/>
      </rPr>
      <t>h</t>
    </r>
    <r>
      <rPr>
        <sz val="10"/>
        <rFont val=".VnArial"/>
        <family val="0"/>
      </rPr>
      <t>_ HÖ sè nÒn theo ph­¬ng th¼ng ®øng t¹i mòi cäc</t>
    </r>
  </si>
  <si>
    <r>
      <t>M</t>
    </r>
    <r>
      <rPr>
        <vertAlign val="subscript"/>
        <sz val="10"/>
        <rFont val=".VnArial"/>
        <family val="2"/>
      </rPr>
      <t>z</t>
    </r>
    <r>
      <rPr>
        <sz val="10"/>
        <rFont val=".VnArial"/>
        <family val="0"/>
      </rPr>
      <t xml:space="preserve"> (T.m)</t>
    </r>
  </si>
  <si>
    <r>
      <t>Q</t>
    </r>
    <r>
      <rPr>
        <vertAlign val="subscript"/>
        <sz val="10"/>
        <rFont val=".VnArial"/>
        <family val="2"/>
      </rPr>
      <t>p</t>
    </r>
  </si>
  <si>
    <r>
      <t>q</t>
    </r>
    <r>
      <rPr>
        <vertAlign val="subscript"/>
        <sz val="10"/>
        <rFont val=".VnArial"/>
        <family val="2"/>
      </rPr>
      <t>p</t>
    </r>
  </si>
  <si>
    <r>
      <t>j</t>
    </r>
    <r>
      <rPr>
        <vertAlign val="subscript"/>
        <sz val="10"/>
        <rFont val=".VnArial"/>
        <family val="2"/>
      </rPr>
      <t>qp</t>
    </r>
  </si>
  <si>
    <r>
      <t>j</t>
    </r>
    <r>
      <rPr>
        <vertAlign val="subscript"/>
        <sz val="10"/>
        <rFont val=".VnArial"/>
        <family val="2"/>
      </rPr>
      <t>qs</t>
    </r>
    <r>
      <rPr>
        <sz val="10"/>
        <rFont val=".VnArial"/>
        <family val="0"/>
      </rPr>
      <t>_ HÖ sè søc kh¸ng mòi cäc dïng cho c¸c ph­¬ng ph¸p t¸ch rêi søc kh¸ng cña cäc do</t>
    </r>
  </si>
  <si>
    <r>
      <t>j</t>
    </r>
    <r>
      <rPr>
        <vertAlign val="subscript"/>
        <sz val="10"/>
        <rFont val=".VnArial"/>
        <family val="2"/>
      </rPr>
      <t>qs</t>
    </r>
  </si>
  <si>
    <t>KN</t>
  </si>
  <si>
    <t>N (Bóa/300mm)</t>
  </si>
  <si>
    <t>a</t>
  </si>
  <si>
    <t>MPa</t>
  </si>
  <si>
    <t>§é s©u              (m)</t>
  </si>
  <si>
    <t>Nc</t>
  </si>
  <si>
    <r>
      <t>q</t>
    </r>
    <r>
      <rPr>
        <vertAlign val="subscript"/>
        <sz val="10"/>
        <rFont val=".VnArial"/>
        <family val="2"/>
      </rPr>
      <t>p</t>
    </r>
    <r>
      <rPr>
        <sz val="10"/>
        <rFont val=".VnArial"/>
        <family val="0"/>
      </rPr>
      <t xml:space="preserve">             (Mpa)</t>
    </r>
  </si>
  <si>
    <t>Z                 (m)</t>
  </si>
  <si>
    <t>D               (m)</t>
  </si>
  <si>
    <t>3. Søc kh¸ng cäc</t>
  </si>
  <si>
    <r>
      <t>m</t>
    </r>
    <r>
      <rPr>
        <vertAlign val="superscript"/>
        <sz val="10"/>
        <rFont val=".VnArial"/>
        <family val="2"/>
      </rPr>
      <t>2</t>
    </r>
  </si>
  <si>
    <r>
      <t>Q</t>
    </r>
    <r>
      <rPr>
        <b/>
        <vertAlign val="subscript"/>
        <sz val="10"/>
        <color indexed="10"/>
        <rFont val=".VnArial"/>
        <family val="2"/>
      </rPr>
      <t>R</t>
    </r>
  </si>
  <si>
    <r>
      <t>b</t>
    </r>
  </si>
  <si>
    <r>
      <t>q</t>
    </r>
    <r>
      <rPr>
        <vertAlign val="subscript"/>
        <sz val="10"/>
        <rFont val=".VnArial"/>
        <family val="2"/>
      </rPr>
      <t>s</t>
    </r>
    <r>
      <rPr>
        <sz val="10"/>
        <rFont val=".VnArial"/>
        <family val="0"/>
      </rPr>
      <t xml:space="preserve">             (Mpa)</t>
    </r>
  </si>
  <si>
    <r>
      <t>S</t>
    </r>
    <r>
      <rPr>
        <vertAlign val="subscript"/>
        <sz val="10"/>
        <rFont val=".VnArial"/>
        <family val="2"/>
      </rPr>
      <t>u</t>
    </r>
    <r>
      <rPr>
        <sz val="10"/>
        <rFont val=".VnArial"/>
        <family val="2"/>
      </rPr>
      <t xml:space="preserve">              (MPa)</t>
    </r>
  </si>
  <si>
    <r>
      <t>s</t>
    </r>
    <r>
      <rPr>
        <b/>
        <vertAlign val="subscript"/>
        <sz val="10"/>
        <rFont val=".VnArial"/>
        <family val="2"/>
      </rPr>
      <t>v</t>
    </r>
    <r>
      <rPr>
        <sz val="10"/>
        <rFont val=".VnArial"/>
        <family val="2"/>
      </rPr>
      <t xml:space="preserve">               (Mpa)</t>
    </r>
  </si>
  <si>
    <t>I. Søc kh¸ng cña cäc khoan trong ®Êt dÝnh</t>
  </si>
  <si>
    <t>II. Søc kh¸ng cäc khoan trong ®Êt rêi</t>
  </si>
  <si>
    <r>
      <t>s</t>
    </r>
    <r>
      <rPr>
        <vertAlign val="subscript"/>
        <sz val="10"/>
        <rFont val=".VnArial"/>
        <family val="2"/>
      </rPr>
      <t>v</t>
    </r>
    <r>
      <rPr>
        <sz val="10"/>
        <rFont val=".VnArial"/>
        <family val="0"/>
      </rPr>
      <t>_ øng suÊt h÷u hiÖu th¼ng ®øng  (Mpa)</t>
    </r>
  </si>
  <si>
    <r>
      <t>DiÖn tÝch mòi cäc A</t>
    </r>
    <r>
      <rPr>
        <vertAlign val="subscript"/>
        <sz val="10"/>
        <rFont val=".VnArial"/>
        <family val="2"/>
      </rPr>
      <t>p</t>
    </r>
    <r>
      <rPr>
        <sz val="10"/>
        <rFont val=".VnArial"/>
        <family val="2"/>
      </rPr>
      <t xml:space="preserve"> =</t>
    </r>
  </si>
  <si>
    <r>
      <t>DiÖn tÝch mÆt bªn cäc A</t>
    </r>
    <r>
      <rPr>
        <vertAlign val="subscript"/>
        <sz val="10"/>
        <rFont val=".VnArial"/>
        <family val="2"/>
      </rPr>
      <t>s</t>
    </r>
    <r>
      <rPr>
        <sz val="10"/>
        <rFont val=".VnArial"/>
        <family val="2"/>
      </rPr>
      <t xml:space="preserve"> =</t>
    </r>
  </si>
  <si>
    <t>Líp ®Êt</t>
  </si>
  <si>
    <r>
      <t>q</t>
    </r>
    <r>
      <rPr>
        <vertAlign val="subscript"/>
        <sz val="10"/>
        <rFont val=".VnArial"/>
        <family val="2"/>
      </rPr>
      <t>p</t>
    </r>
    <r>
      <rPr>
        <sz val="10"/>
        <rFont val=".VnArial"/>
        <family val="0"/>
      </rPr>
      <t xml:space="preserve"> = 0.057 N</t>
    </r>
  </si>
  <si>
    <r>
      <t>q</t>
    </r>
    <r>
      <rPr>
        <vertAlign val="subscript"/>
        <sz val="10"/>
        <rFont val=".VnArial"/>
        <family val="2"/>
      </rPr>
      <t>p</t>
    </r>
    <r>
      <rPr>
        <sz val="10"/>
        <rFont val=".VnArial"/>
        <family val="0"/>
      </rPr>
      <t xml:space="preserve"> = 4.3</t>
    </r>
  </si>
  <si>
    <r>
      <t>q</t>
    </r>
    <r>
      <rPr>
        <vertAlign val="subscript"/>
        <sz val="10"/>
        <rFont val=".VnArial"/>
        <family val="2"/>
      </rPr>
      <t>p</t>
    </r>
    <r>
      <rPr>
        <sz val="10"/>
        <rFont val=".VnArial"/>
        <family val="0"/>
      </rPr>
      <t xml:space="preserve">  =</t>
    </r>
  </si>
  <si>
    <r>
      <t>q</t>
    </r>
    <r>
      <rPr>
        <vertAlign val="subscript"/>
        <sz val="10"/>
        <rFont val=".VnArial"/>
        <family val="2"/>
      </rPr>
      <t>p</t>
    </r>
    <r>
      <rPr>
        <sz val="10"/>
        <rFont val=".VnArial"/>
        <family val="0"/>
      </rPr>
      <t xml:space="preserve"> = 0.064 N</t>
    </r>
  </si>
  <si>
    <r>
      <t>q</t>
    </r>
    <r>
      <rPr>
        <vertAlign val="subscript"/>
        <sz val="10"/>
        <rFont val=".VnArial"/>
        <family val="2"/>
      </rPr>
      <t>p</t>
    </r>
    <r>
      <rPr>
        <sz val="10"/>
        <rFont val=".VnArial"/>
        <family val="0"/>
      </rPr>
      <t xml:space="preserve"> = 3.8</t>
    </r>
  </si>
  <si>
    <t xml:space="preserve">TÝnh søc kh¸ng cña cäc khoan nhåi theo </t>
  </si>
  <si>
    <t>Xin ®õng xo¸</t>
  </si>
  <si>
    <t>KiÓm tra cäc ®¬n chÞu t¶i träng ngang</t>
  </si>
  <si>
    <r>
      <t>A</t>
    </r>
    <r>
      <rPr>
        <vertAlign val="subscript"/>
        <sz val="10"/>
        <rFont val=".VnArial"/>
        <family val="2"/>
      </rPr>
      <t>p</t>
    </r>
  </si>
  <si>
    <r>
      <t>A</t>
    </r>
    <r>
      <rPr>
        <vertAlign val="subscript"/>
        <sz val="10"/>
        <rFont val=".VnArial"/>
        <family val="2"/>
      </rPr>
      <t>s</t>
    </r>
  </si>
  <si>
    <r>
      <t>N</t>
    </r>
    <r>
      <rPr>
        <vertAlign val="subscript"/>
        <sz val="10"/>
        <rFont val=".VnArial"/>
        <family val="2"/>
      </rPr>
      <t>corr</t>
    </r>
    <r>
      <rPr>
        <sz val="10"/>
        <rFont val=".VnArial"/>
        <family val="0"/>
      </rPr>
      <t xml:space="preserve">_ Sè ®Õm SPT gÇn mòi cäc ®· hiÖu chØnh cho ¸p lùc tÇng phñ, </t>
    </r>
    <r>
      <rPr>
        <sz val="10"/>
        <rFont val="Symbol"/>
        <family val="1"/>
      </rPr>
      <t>s</t>
    </r>
    <r>
      <rPr>
        <sz val="10"/>
        <rFont val=".VnArial"/>
        <family val="0"/>
      </rPr>
      <t>'</t>
    </r>
    <r>
      <rPr>
        <vertAlign val="subscript"/>
        <sz val="10"/>
        <rFont val=".VnArial"/>
        <family val="2"/>
      </rPr>
      <t>v</t>
    </r>
    <r>
      <rPr>
        <sz val="10"/>
        <rFont val=".VnArial"/>
        <family val="0"/>
      </rPr>
      <t xml:space="preserve"> (Bóa/300mm)</t>
    </r>
  </si>
  <si>
    <t>TÝnh søc chÞu t¶i cña cäc ®¬n 40x40cm</t>
  </si>
  <si>
    <t xml:space="preserve">TÝnh søc kh¸ng cña cäc BTCT theo </t>
  </si>
  <si>
    <r>
      <t>¸</t>
    </r>
    <r>
      <rPr>
        <b/>
        <i/>
        <sz val="10"/>
        <color indexed="10"/>
        <rFont val=".VnArial"/>
        <family val="2"/>
      </rPr>
      <t>p dông cho c¸t vµ bïn kh«ng dÎo</t>
    </r>
  </si>
  <si>
    <t>kho¶ng</t>
  </si>
  <si>
    <t>III. Kh¶ n¨ng chÞu nhæ cña cäc</t>
  </si>
  <si>
    <t>TÝnh to¸n cäc chÞu lùc ngang</t>
  </si>
  <si>
    <t>TÝnh kh¶ n¨ng chÞu t¶i cäc khoan nhåi trong ®Êt dÝnh</t>
  </si>
  <si>
    <t>TÝnh kh¶ n¨ng chÞu t¶i cäc khoan nhåi trong ®Êt rêi</t>
  </si>
  <si>
    <t>TÝnh kh¶ n¨ng chÞu t¶i cäc theo SPT</t>
  </si>
  <si>
    <t>TÝnh kh¶ n¨ng chÞu t¶i cäc theo CPT</t>
  </si>
  <si>
    <t>TÝnh kh¶ n¨ng chÞu nhæ cäc</t>
  </si>
  <si>
    <t>Môc lôc</t>
  </si>
  <si>
    <t>GS - TS. NguyÔn ViÕt Trung</t>
  </si>
  <si>
    <t>tiªu chuÈn thiÕt kÕ 22TCN-272-05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</si>
</sst>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00E+00"/>
    <numFmt numFmtId="166" formatCode="0.000"/>
    <numFmt numFmtId="167" formatCode="0.000000"/>
    <numFmt numFmtId="168" formatCode="0.00000"/>
    <numFmt numFmtId="169" formatCode="0.0"/>
    <numFmt numFmtId="170" formatCode="0.0000"/>
    <numFmt numFmtId="171" formatCode="0.0000000"/>
    <numFmt numFmtId="172" formatCode="0.00000000"/>
    <numFmt numFmtId="173" formatCode="_(* #,##0.0_);_(* \(#,##0.0\);_(* &quot;-&quot;??_);_(@_)"/>
    <numFmt numFmtId="174" formatCode="_(* #,##0_);_(* \(#,##0\);_(* &quot;-&quot;??_);_(@_)"/>
  </numFmts>
  <fonts count="38">
    <font>
      <sz val="10"/>
      <name val=".VnArial"/>
      <family val="0"/>
    </font>
    <font>
      <b/>
      <sz val="8"/>
      <name val="Arial"/>
      <family val="0"/>
    </font>
    <font>
      <sz val="8"/>
      <name val="Arial"/>
      <family val="0"/>
    </font>
    <font>
      <sz val="8.25"/>
      <name val="Arial"/>
      <family val="0"/>
    </font>
    <font>
      <b/>
      <sz val="8.25"/>
      <name val="Arial"/>
      <family val="0"/>
    </font>
    <font>
      <b/>
      <sz val="8"/>
      <name val="Symbol"/>
      <family val="1"/>
    </font>
    <font>
      <b/>
      <vertAlign val="superscript"/>
      <sz val="8"/>
      <name val="Arial"/>
      <family val="2"/>
    </font>
    <font>
      <u val="single"/>
      <sz val="10"/>
      <color indexed="12"/>
      <name val=".VnArial"/>
      <family val="0"/>
    </font>
    <font>
      <u val="single"/>
      <sz val="10"/>
      <color indexed="36"/>
      <name val=".VnArial"/>
      <family val="0"/>
    </font>
    <font>
      <sz val="10"/>
      <color indexed="12"/>
      <name val=".VnArial"/>
      <family val="2"/>
    </font>
    <font>
      <vertAlign val="subscript"/>
      <sz val="10"/>
      <name val=".VnArial"/>
      <family val="2"/>
    </font>
    <font>
      <vertAlign val="superscript"/>
      <sz val="10"/>
      <name val=".VnArial"/>
      <family val="2"/>
    </font>
    <font>
      <sz val="10"/>
      <name val="Symbol"/>
      <family val="1"/>
    </font>
    <font>
      <b/>
      <sz val="10"/>
      <name val=".VnArial"/>
      <family val="2"/>
    </font>
    <font>
      <b/>
      <sz val="10"/>
      <name val="Symbol"/>
      <family val="1"/>
    </font>
    <font>
      <b/>
      <vertAlign val="superscript"/>
      <sz val="10"/>
      <name val=".VnArial"/>
      <family val="2"/>
    </font>
    <font>
      <b/>
      <vertAlign val="subscript"/>
      <sz val="10"/>
      <name val=".VnArial"/>
      <family val="2"/>
    </font>
    <font>
      <sz val="12"/>
      <name val=".VnArialH"/>
      <family val="2"/>
    </font>
    <font>
      <sz val="12"/>
      <name val=".VnArial"/>
      <family val="2"/>
    </font>
    <font>
      <sz val="8"/>
      <name val=".VnArial"/>
      <family val="2"/>
    </font>
    <font>
      <b/>
      <sz val="9"/>
      <name val=".VnArial"/>
      <family val="2"/>
    </font>
    <font>
      <b/>
      <i/>
      <sz val="10"/>
      <name val=".VnArialH"/>
      <family val="2"/>
    </font>
    <font>
      <b/>
      <i/>
      <sz val="10"/>
      <name val=".VnArial"/>
      <family val="2"/>
    </font>
    <font>
      <b/>
      <sz val="10"/>
      <color indexed="10"/>
      <name val=".VnArial"/>
      <family val="2"/>
    </font>
    <font>
      <sz val="10"/>
      <name val=".VnArialH"/>
      <family val="2"/>
    </font>
    <font>
      <sz val="12"/>
      <name val="Symbol"/>
      <family val="1"/>
    </font>
    <font>
      <b/>
      <sz val="10"/>
      <name val=".VnArialH"/>
      <family val="2"/>
    </font>
    <font>
      <sz val="8"/>
      <name val="Tahoma"/>
      <family val="0"/>
    </font>
    <font>
      <b/>
      <sz val="8"/>
      <name val="Tahoma"/>
      <family val="0"/>
    </font>
    <font>
      <b/>
      <vertAlign val="subscript"/>
      <sz val="8"/>
      <name val="Arial"/>
      <family val="2"/>
    </font>
    <font>
      <b/>
      <vertAlign val="subscript"/>
      <sz val="8.25"/>
      <name val="Arial"/>
      <family val="2"/>
    </font>
    <font>
      <b/>
      <vertAlign val="subscript"/>
      <sz val="10"/>
      <color indexed="10"/>
      <name val=".VnArial"/>
      <family val="2"/>
    </font>
    <font>
      <b/>
      <i/>
      <sz val="10"/>
      <color indexed="10"/>
      <name val=".VnArial"/>
      <family val="2"/>
    </font>
    <font>
      <b/>
      <sz val="12"/>
      <color indexed="10"/>
      <name val=".VnArialH"/>
      <family val="2"/>
    </font>
    <font>
      <b/>
      <i/>
      <sz val="10"/>
      <color indexed="10"/>
      <name val=".VnArialH"/>
      <family val="2"/>
    </font>
    <font>
      <b/>
      <sz val="10"/>
      <color indexed="12"/>
      <name val=".VnArial"/>
      <family val="2"/>
    </font>
    <font>
      <b/>
      <sz val="16"/>
      <name val=".VnArialH"/>
      <family val="2"/>
    </font>
    <font>
      <b/>
      <sz val="8"/>
      <name val=".Vn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169" fontId="0" fillId="0" borderId="1" xfId="0" applyNumberFormat="1" applyFont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9" fontId="0" fillId="0" borderId="2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9" fontId="0" fillId="0" borderId="3" xfId="0" applyNumberFormat="1" applyFont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2" fontId="0" fillId="0" borderId="1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168" fontId="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66" fontId="0" fillId="0" borderId="4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5" xfId="0" applyNumberFormat="1" applyFont="1" applyBorder="1" applyAlignment="1">
      <alignment horizontal="center"/>
    </xf>
    <xf numFmtId="168" fontId="0" fillId="0" borderId="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  <xf numFmtId="170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5" xfId="0" applyFont="1" applyBorder="1" applyAlignment="1">
      <alignment horizontal="center"/>
    </xf>
    <xf numFmtId="166" fontId="0" fillId="0" borderId="6" xfId="0" applyNumberFormat="1" applyFont="1" applyBorder="1" applyAlignment="1">
      <alignment horizontal="center"/>
    </xf>
    <xf numFmtId="168" fontId="0" fillId="0" borderId="6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6" fontId="0" fillId="0" borderId="0" xfId="0" applyNumberFormat="1" applyFont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5" xfId="0" applyFont="1" applyBorder="1" applyAlignment="1">
      <alignment horizontal="center"/>
    </xf>
    <xf numFmtId="169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0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2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3" borderId="0" xfId="0" applyFont="1" applyFill="1" applyAlignment="1">
      <alignment horizontal="center"/>
    </xf>
    <xf numFmtId="169" fontId="0" fillId="3" borderId="0" xfId="0" applyNumberFormat="1" applyFont="1" applyFill="1" applyAlignment="1">
      <alignment horizontal="center"/>
    </xf>
    <xf numFmtId="166" fontId="0" fillId="3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0" fillId="4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0" fillId="4" borderId="0" xfId="0" applyFont="1" applyFill="1" applyAlignment="1">
      <alignment horizontal="right"/>
    </xf>
    <xf numFmtId="170" fontId="0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8" xfId="0" applyFont="1" applyBorder="1" applyAlignment="1">
      <alignment horizontal="center"/>
    </xf>
    <xf numFmtId="2" fontId="0" fillId="0" borderId="1" xfId="15" applyNumberFormat="1" applyFont="1" applyBorder="1" applyAlignment="1">
      <alignment horizontal="center"/>
    </xf>
    <xf numFmtId="0" fontId="12" fillId="0" borderId="0" xfId="0" applyFont="1" applyAlignment="1">
      <alignment/>
    </xf>
    <xf numFmtId="2" fontId="0" fillId="0" borderId="5" xfId="0" applyNumberForma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22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left"/>
    </xf>
    <xf numFmtId="0" fontId="0" fillId="2" borderId="0" xfId="0" applyFont="1" applyFill="1" applyAlignment="1">
      <alignment/>
    </xf>
    <xf numFmtId="166" fontId="0" fillId="0" borderId="0" xfId="0" applyNumberFormat="1" applyFont="1" applyAlignment="1">
      <alignment horizontal="left"/>
    </xf>
    <xf numFmtId="168" fontId="9" fillId="5" borderId="2" xfId="0" applyNumberFormat="1" applyFont="1" applyFill="1" applyBorder="1" applyAlignment="1">
      <alignment horizontal="center"/>
    </xf>
    <xf numFmtId="168" fontId="9" fillId="5" borderId="3" xfId="0" applyNumberFormat="1" applyFont="1" applyFill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168" fontId="9" fillId="5" borderId="8" xfId="0" applyNumberFormat="1" applyFont="1" applyFill="1" applyBorder="1" applyAlignment="1">
      <alignment horizontal="center"/>
    </xf>
    <xf numFmtId="168" fontId="0" fillId="0" borderId="8" xfId="0" applyNumberFormat="1" applyFont="1" applyBorder="1" applyAlignment="1">
      <alignment horizontal="center"/>
    </xf>
    <xf numFmtId="169" fontId="0" fillId="0" borderId="8" xfId="0" applyNumberFormat="1" applyFont="1" applyBorder="1" applyAlignment="1">
      <alignment horizontal="center"/>
    </xf>
    <xf numFmtId="168" fontId="9" fillId="5" borderId="9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168" fontId="9" fillId="5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7" xfId="0" applyNumberFormat="1" applyFont="1" applyBorder="1" applyAlignment="1">
      <alignment horizontal="center"/>
    </xf>
    <xf numFmtId="168" fontId="0" fillId="0" borderId="7" xfId="0" applyNumberFormat="1" applyFont="1" applyBorder="1" applyAlignment="1">
      <alignment horizontal="center"/>
    </xf>
    <xf numFmtId="169" fontId="0" fillId="0" borderId="7" xfId="0" applyNumberFormat="1" applyFont="1" applyBorder="1" applyAlignment="1">
      <alignment horizontal="center"/>
    </xf>
    <xf numFmtId="0" fontId="12" fillId="0" borderId="5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23" fillId="0" borderId="0" xfId="0" applyNumberFormat="1" applyFont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 horizontal="center"/>
    </xf>
    <xf numFmtId="166" fontId="22" fillId="0" borderId="0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23" fillId="0" borderId="7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left"/>
    </xf>
    <xf numFmtId="166" fontId="0" fillId="0" borderId="0" xfId="0" applyNumberFormat="1" applyBorder="1" applyAlignment="1">
      <alignment horizontal="left"/>
    </xf>
    <xf numFmtId="166" fontId="32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33" fillId="4" borderId="0" xfId="0" applyFont="1" applyFill="1" applyAlignment="1">
      <alignment horizontal="centerContinuous"/>
    </xf>
    <xf numFmtId="0" fontId="0" fillId="4" borderId="0" xfId="0" applyFill="1" applyAlignment="1">
      <alignment horizontal="centerContinuous"/>
    </xf>
    <xf numFmtId="2" fontId="0" fillId="0" borderId="1" xfId="0" applyNumberFormat="1" applyBorder="1" applyAlignment="1">
      <alignment horizontal="center"/>
    </xf>
    <xf numFmtId="0" fontId="34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2" fontId="0" fillId="4" borderId="0" xfId="0" applyNumberFormat="1" applyFont="1" applyFill="1" applyAlignment="1">
      <alignment horizontal="left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 quotePrefix="1">
      <alignment horizontal="center"/>
    </xf>
    <xf numFmtId="0" fontId="13" fillId="0" borderId="0" xfId="0" applyFont="1" applyAlignment="1">
      <alignment horizontal="center"/>
    </xf>
    <xf numFmtId="0" fontId="35" fillId="2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11" fontId="35" fillId="0" borderId="0" xfId="0" applyNumberFormat="1" applyFont="1" applyAlignment="1">
      <alignment horizontal="center"/>
    </xf>
    <xf numFmtId="166" fontId="35" fillId="0" borderId="5" xfId="0" applyNumberFormat="1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168" fontId="35" fillId="5" borderId="1" xfId="0" applyNumberFormat="1" applyFont="1" applyFill="1" applyBorder="1" applyAlignment="1">
      <alignment horizontal="center"/>
    </xf>
    <xf numFmtId="168" fontId="35" fillId="5" borderId="2" xfId="0" applyNumberFormat="1" applyFont="1" applyFill="1" applyBorder="1" applyAlignment="1">
      <alignment horizontal="center"/>
    </xf>
    <xf numFmtId="168" fontId="35" fillId="5" borderId="10" xfId="0" applyNumberFormat="1" applyFont="1" applyFill="1" applyBorder="1" applyAlignment="1">
      <alignment horizontal="center"/>
    </xf>
    <xf numFmtId="168" fontId="35" fillId="5" borderId="7" xfId="0" applyNumberFormat="1" applyFont="1" applyFill="1" applyBorder="1" applyAlignment="1">
      <alignment horizontal="center"/>
    </xf>
    <xf numFmtId="168" fontId="35" fillId="5" borderId="3" xfId="0" applyNumberFormat="1" applyFont="1" applyFill="1" applyBorder="1" applyAlignment="1">
      <alignment horizontal="center"/>
    </xf>
    <xf numFmtId="2" fontId="35" fillId="0" borderId="5" xfId="0" applyNumberFormat="1" applyFont="1" applyBorder="1" applyAlignment="1">
      <alignment horizontal="center"/>
    </xf>
    <xf numFmtId="2" fontId="35" fillId="0" borderId="5" xfId="0" applyNumberFormat="1" applyFont="1" applyFill="1" applyBorder="1" applyAlignment="1">
      <alignment horizontal="center"/>
    </xf>
    <xf numFmtId="0" fontId="35" fillId="0" borderId="0" xfId="0" applyFont="1" applyAlignment="1">
      <alignment/>
    </xf>
    <xf numFmtId="2" fontId="35" fillId="0" borderId="1" xfId="0" applyNumberFormat="1" applyFont="1" applyFill="1" applyBorder="1" applyAlignment="1">
      <alignment horizontal="center"/>
    </xf>
    <xf numFmtId="2" fontId="35" fillId="0" borderId="8" xfId="0" applyNumberFormat="1" applyFont="1" applyFill="1" applyBorder="1" applyAlignment="1">
      <alignment horizontal="center"/>
    </xf>
    <xf numFmtId="2" fontId="35" fillId="0" borderId="3" xfId="0" applyNumberFormat="1" applyFont="1" applyFill="1" applyBorder="1" applyAlignment="1">
      <alignment horizontal="center"/>
    </xf>
    <xf numFmtId="2" fontId="35" fillId="0" borderId="8" xfId="15" applyNumberFormat="1" applyFont="1" applyBorder="1" applyAlignment="1">
      <alignment horizontal="center"/>
    </xf>
    <xf numFmtId="0" fontId="35" fillId="0" borderId="2" xfId="15" applyNumberFormat="1" applyFont="1" applyBorder="1" applyAlignment="1">
      <alignment horizontal="center"/>
    </xf>
    <xf numFmtId="0" fontId="35" fillId="4" borderId="2" xfId="15" applyNumberFormat="1" applyFont="1" applyFill="1" applyBorder="1" applyAlignment="1">
      <alignment horizontal="center"/>
    </xf>
    <xf numFmtId="2" fontId="35" fillId="0" borderId="3" xfId="15" applyNumberFormat="1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170" fontId="35" fillId="0" borderId="2" xfId="0" applyNumberFormat="1" applyFont="1" applyBorder="1" applyAlignment="1">
      <alignment horizontal="center"/>
    </xf>
    <xf numFmtId="2" fontId="35" fillId="0" borderId="2" xfId="0" applyNumberFormat="1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.VnArial"/>
                <a:ea typeface=".VnArial"/>
                <a:cs typeface=".VnArial"/>
              </a:rPr>
              <a:t>BiÓu ®å Moment uèn</a:t>
            </a:r>
          </a:p>
        </c:rich>
      </c:tx>
      <c:layout>
        <c:manualLayout>
          <c:xMode val="factor"/>
          <c:yMode val="factor"/>
          <c:x val="0.01025"/>
          <c:y val="0.05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75"/>
          <c:y val="0.14225"/>
          <c:w val="0.58775"/>
          <c:h val="0.78775"/>
        </c:manualLayout>
      </c:layout>
      <c:scatterChart>
        <c:scatterStyle val="smoothMarker"/>
        <c:varyColors val="0"/>
        <c:ser>
          <c:idx val="0"/>
          <c:order val="0"/>
          <c:tx>
            <c:v>BiÓu ®å Moment uèn (T.m)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.VnArial"/>
                    <a:ea typeface=".VnArial"/>
                    <a:cs typeface=".Vn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'coc chiu luc ngang'!$K$108:$K$127</c:f>
              <c:numCache/>
            </c:numRef>
          </c:xVal>
          <c:yVal>
            <c:numRef>
              <c:f>'coc chiu luc ngang'!$J$108:$J$127</c:f>
              <c:numCache/>
            </c:numRef>
          </c:yVal>
          <c:smooth val="1"/>
        </c:ser>
        <c:axId val="20959355"/>
        <c:axId val="54416468"/>
      </c:scatterChart>
      <c:valAx>
        <c:axId val="20959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M (T.m)</a:t>
                </a:r>
              </a:p>
            </c:rich>
          </c:tx>
          <c:layout>
            <c:manualLayout>
              <c:xMode val="factor"/>
              <c:yMode val="factor"/>
              <c:x val="0.259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out"/>
        <c:tickLblPos val="high"/>
        <c:txPr>
          <a:bodyPr/>
          <a:lstStyle/>
          <a:p>
            <a:pPr>
              <a:defRPr lang="en-US" cap="none" sz="800" b="0" i="0" u="none" baseline="0">
                <a:latin typeface=".VnArial"/>
                <a:ea typeface=".VnArial"/>
                <a:cs typeface=".VnArial"/>
              </a:defRPr>
            </a:pPr>
          </a:p>
        </c:txPr>
        <c:crossAx val="54416468"/>
        <c:crosses val="autoZero"/>
        <c:crossBetween val="midCat"/>
        <c:dispUnits/>
      </c:valAx>
      <c:valAx>
        <c:axId val="54416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z</a:t>
                </a:r>
                <a:r>
                  <a:rPr lang="en-US" cap="none" sz="825" b="1" i="0" u="none" baseline="-25000"/>
                  <a:t>tb</a:t>
                </a:r>
                <a:r>
                  <a:rPr lang="en-US" cap="none" sz="825" b="1" i="0" u="none" baseline="0"/>
                  <a:t> (m)</a:t>
                </a:r>
              </a:p>
            </c:rich>
          </c:tx>
          <c:layout>
            <c:manualLayout>
              <c:xMode val="factor"/>
              <c:yMode val="factor"/>
              <c:x val="0.0565"/>
              <c:y val="-0.1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.VnArial"/>
                <a:ea typeface=".VnArial"/>
                <a:cs typeface=".VnArial"/>
              </a:defRPr>
            </a:pPr>
          </a:p>
        </c:txPr>
        <c:crossAx val="209593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.VnArial"/>
                <a:ea typeface=".VnArial"/>
                <a:cs typeface=".VnArial"/>
              </a:rPr>
              <a:t>BiÓu ®å øng suÊt mÆt bªn mãng</a:t>
            </a:r>
          </a:p>
        </c:rich>
      </c:tx>
      <c:layout>
        <c:manualLayout>
          <c:xMode val="factor"/>
          <c:yMode val="factor"/>
          <c:x val="-0.18"/>
          <c:y val="0.02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25"/>
          <c:w val="0.68175"/>
          <c:h val="0.820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.VnArial"/>
                      <a:ea typeface=".VnArial"/>
                      <a:cs typeface=".VnArial"/>
                    </a:defRPr>
                  </a:pPr>
                </a:p>
              </c:txPr>
              <c:numFmt formatCode="0.0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.VnArial"/>
                    <a:ea typeface=".VnArial"/>
                    <a:cs typeface=".Vn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'coc chiu luc ngang'!$F$161:$F$180</c:f>
              <c:numCache/>
            </c:numRef>
          </c:xVal>
          <c:yVal>
            <c:numRef>
              <c:f>'coc chiu luc ngang'!$J$161:$J$180</c:f>
              <c:numCache/>
            </c:numRef>
          </c:yVal>
          <c:smooth val="1"/>
        </c:ser>
        <c:axId val="19986165"/>
        <c:axId val="45657758"/>
      </c:scatterChart>
      <c:valAx>
        <c:axId val="1998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</a:t>
                </a:r>
                <a:r>
                  <a:rPr lang="en-US" cap="none" sz="800" b="1" i="0" u="none" baseline="0"/>
                  <a:t> (T/m</a:t>
                </a:r>
                <a:r>
                  <a:rPr lang="en-US" cap="none" sz="800" b="1" i="0" u="none" baseline="30000"/>
                  <a:t>2</a:t>
                </a:r>
                <a:r>
                  <a:rPr lang="en-US" cap="none" sz="800" b="1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258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out"/>
        <c:tickLblPos val="high"/>
        <c:txPr>
          <a:bodyPr/>
          <a:lstStyle/>
          <a:p>
            <a:pPr>
              <a:defRPr lang="en-US" cap="none" sz="800" b="0" i="0" u="none" baseline="0">
                <a:latin typeface=".VnArial"/>
                <a:ea typeface=".VnArial"/>
                <a:cs typeface=".VnArial"/>
              </a:defRPr>
            </a:pPr>
          </a:p>
        </c:txPr>
        <c:crossAx val="45657758"/>
        <c:crosses val="autoZero"/>
        <c:crossBetween val="midCat"/>
        <c:dispUnits/>
      </c:valAx>
      <c:valAx>
        <c:axId val="45657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z </a:t>
                </a:r>
                <a:r>
                  <a:rPr lang="en-US" cap="none" sz="800" b="1" i="0" u="none" baseline="-25000"/>
                  <a:t>tb</a:t>
                </a:r>
                <a:r>
                  <a:rPr lang="en-US" cap="none" sz="800" b="1" i="0" u="none" baseline="0"/>
                  <a:t>(m)</a:t>
                </a:r>
              </a:p>
            </c:rich>
          </c:tx>
          <c:layout>
            <c:manualLayout>
              <c:xMode val="factor"/>
              <c:yMode val="factor"/>
              <c:x val="0.1165"/>
              <c:y val="-0.11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.VnArial"/>
                <a:ea typeface=".VnArial"/>
                <a:cs typeface=".VnArial"/>
              </a:defRPr>
            </a:pPr>
          </a:p>
        </c:txPr>
        <c:crossAx val="199861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2.emf" /><Relationship Id="rId5" Type="http://schemas.openxmlformats.org/officeDocument/2006/relationships/image" Target="../media/image8.emf" /><Relationship Id="rId6" Type="http://schemas.openxmlformats.org/officeDocument/2006/relationships/image" Target="../media/image1.emf" /><Relationship Id="rId7" Type="http://schemas.openxmlformats.org/officeDocument/2006/relationships/image" Target="../media/image6.emf" /><Relationship Id="rId8" Type="http://schemas.openxmlformats.org/officeDocument/2006/relationships/image" Target="../media/image1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9.emf" /><Relationship Id="rId3" Type="http://schemas.openxmlformats.org/officeDocument/2006/relationships/image" Target="../media/image13.emf" /><Relationship Id="rId4" Type="http://schemas.openxmlformats.org/officeDocument/2006/relationships/image" Target="../media/image10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180</xdr:row>
      <xdr:rowOff>0</xdr:rowOff>
    </xdr:from>
    <xdr:to>
      <xdr:col>6</xdr:col>
      <xdr:colOff>647700</xdr:colOff>
      <xdr:row>205</xdr:row>
      <xdr:rowOff>76200</xdr:rowOff>
    </xdr:to>
    <xdr:graphicFrame>
      <xdr:nvGraphicFramePr>
        <xdr:cNvPr id="1" name="Chart 12"/>
        <xdr:cNvGraphicFramePr/>
      </xdr:nvGraphicFramePr>
      <xdr:xfrm>
        <a:off x="2085975" y="28117800"/>
        <a:ext cx="43910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180</xdr:row>
      <xdr:rowOff>123825</xdr:rowOff>
    </xdr:from>
    <xdr:to>
      <xdr:col>3</xdr:col>
      <xdr:colOff>800100</xdr:colOff>
      <xdr:row>205</xdr:row>
      <xdr:rowOff>57150</xdr:rowOff>
    </xdr:to>
    <xdr:graphicFrame>
      <xdr:nvGraphicFramePr>
        <xdr:cNvPr id="2" name="Chart 11"/>
        <xdr:cNvGraphicFramePr/>
      </xdr:nvGraphicFramePr>
      <xdr:xfrm>
        <a:off x="0" y="28241625"/>
        <a:ext cx="37147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oleObject" Target="../embeddings/oleObject_1_2.bin" /><Relationship Id="rId5" Type="http://schemas.openxmlformats.org/officeDocument/2006/relationships/oleObject" Target="../embeddings/oleObject_1_3.bin" /><Relationship Id="rId6" Type="http://schemas.openxmlformats.org/officeDocument/2006/relationships/oleObject" Target="../embeddings/oleObject_1_4.bin" /><Relationship Id="rId7" Type="http://schemas.openxmlformats.org/officeDocument/2006/relationships/oleObject" Target="../embeddings/oleObject_1_5.bin" /><Relationship Id="rId8" Type="http://schemas.openxmlformats.org/officeDocument/2006/relationships/oleObject" Target="../embeddings/oleObject_1_6.bin" /><Relationship Id="rId9" Type="http://schemas.openxmlformats.org/officeDocument/2006/relationships/oleObject" Target="../embeddings/oleObject_1_7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F5" sqref="F5"/>
    </sheetView>
  </sheetViews>
  <sheetFormatPr defaultColWidth="9.00390625" defaultRowHeight="12.75"/>
  <sheetData>
    <row r="1" spans="1:9" ht="24.75">
      <c r="A1" s="171" t="s">
        <v>246</v>
      </c>
      <c r="B1" s="171"/>
      <c r="C1" s="171"/>
      <c r="D1" s="171"/>
      <c r="E1" s="171"/>
      <c r="F1" s="171"/>
      <c r="G1" s="171"/>
      <c r="H1" s="171"/>
      <c r="I1" s="171"/>
    </row>
    <row r="5" spans="1:5" s="141" customFormat="1" ht="33.75" customHeight="1">
      <c r="A5" s="140" t="s">
        <v>240</v>
      </c>
      <c r="B5" s="140"/>
      <c r="C5" s="140"/>
      <c r="D5" s="140"/>
      <c r="E5" s="140"/>
    </row>
    <row r="6" spans="1:5" s="141" customFormat="1" ht="33.75" customHeight="1">
      <c r="A6" s="140" t="s">
        <v>241</v>
      </c>
      <c r="B6" s="140"/>
      <c r="C6" s="140"/>
      <c r="D6" s="140"/>
      <c r="E6" s="140"/>
    </row>
    <row r="7" spans="1:5" s="141" customFormat="1" ht="33.75" customHeight="1">
      <c r="A7" s="140" t="s">
        <v>242</v>
      </c>
      <c r="B7" s="140"/>
      <c r="C7" s="140"/>
      <c r="D7" s="140"/>
      <c r="E7" s="140"/>
    </row>
    <row r="8" spans="1:5" s="141" customFormat="1" ht="33.75" customHeight="1">
      <c r="A8" s="140" t="s">
        <v>243</v>
      </c>
      <c r="B8" s="140"/>
      <c r="C8" s="140"/>
      <c r="D8" s="140"/>
      <c r="E8" s="140"/>
    </row>
    <row r="9" spans="1:5" s="141" customFormat="1" ht="33.75" customHeight="1">
      <c r="A9" s="140" t="s">
        <v>244</v>
      </c>
      <c r="B9" s="140"/>
      <c r="C9" s="140"/>
      <c r="D9" s="140"/>
      <c r="E9" s="140"/>
    </row>
    <row r="10" spans="1:5" s="141" customFormat="1" ht="33.75" customHeight="1">
      <c r="A10" s="140" t="s">
        <v>245</v>
      </c>
      <c r="B10" s="140"/>
      <c r="C10" s="140"/>
      <c r="D10" s="140"/>
      <c r="E10" s="140"/>
    </row>
  </sheetData>
  <mergeCells count="1">
    <mergeCell ref="A1:I1"/>
  </mergeCells>
  <printOptions/>
  <pageMargins left="1.1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8"/>
  <sheetViews>
    <sheetView view="pageBreakPreview" zoomScaleSheetLayoutView="100" workbookViewId="0" topLeftCell="A184">
      <selection activeCell="G142" sqref="G142"/>
    </sheetView>
  </sheetViews>
  <sheetFormatPr defaultColWidth="9.00390625" defaultRowHeight="12.75"/>
  <cols>
    <col min="1" max="1" width="12.75390625" style="23" customWidth="1"/>
    <col min="2" max="2" width="12.75390625" style="24" customWidth="1"/>
    <col min="3" max="7" width="12.75390625" style="23" customWidth="1"/>
    <col min="8" max="8" width="9.125" style="23" customWidth="1"/>
    <col min="9" max="10" width="8.00390625" style="23" customWidth="1"/>
    <col min="11" max="11" width="9.875" style="23" bestFit="1" customWidth="1"/>
    <col min="12" max="16384" width="9.125" style="23" customWidth="1"/>
  </cols>
  <sheetData>
    <row r="1" spans="1:6" ht="28.5" customHeight="1">
      <c r="A1" s="136" t="s">
        <v>231</v>
      </c>
      <c r="B1" s="137"/>
      <c r="C1" s="137"/>
      <c r="D1" s="137"/>
      <c r="E1" s="137"/>
      <c r="F1" s="137"/>
    </row>
    <row r="2" spans="1:6" s="3" customFormat="1" ht="13.5" customHeight="1">
      <c r="A2" s="88" t="s">
        <v>79</v>
      </c>
      <c r="B2" s="67" t="s">
        <v>81</v>
      </c>
      <c r="C2" s="68"/>
      <c r="D2" s="69" t="s">
        <v>80</v>
      </c>
      <c r="E2" s="142">
        <f ca="1">NOW()</f>
        <v>38718.41091087963</v>
      </c>
      <c r="F2" s="142"/>
    </row>
    <row r="3" spans="1:6" s="3" customFormat="1" ht="13.5" customHeight="1">
      <c r="A3" s="88"/>
      <c r="B3" s="67"/>
      <c r="C3" s="68"/>
      <c r="D3" s="69"/>
      <c r="E3" s="87"/>
      <c r="F3" s="87"/>
    </row>
    <row r="4" spans="1:6" s="3" customFormat="1" ht="13.5" customHeight="1">
      <c r="A4" s="88" t="s">
        <v>186</v>
      </c>
      <c r="B4" s="88" t="s">
        <v>247</v>
      </c>
      <c r="C4" s="68"/>
      <c r="D4" s="68"/>
      <c r="E4" s="68"/>
      <c r="F4" s="68"/>
    </row>
    <row r="5" spans="2:6" s="3" customFormat="1" ht="13.5" customHeight="1">
      <c r="B5" s="66"/>
      <c r="C5" s="66"/>
      <c r="D5" s="66"/>
      <c r="E5" s="66"/>
      <c r="F5" s="66"/>
    </row>
    <row r="6" spans="1:2" s="3" customFormat="1" ht="12.75">
      <c r="A6" s="3" t="s">
        <v>15</v>
      </c>
      <c r="B6" s="20"/>
    </row>
    <row r="7" spans="1:3" ht="12.75">
      <c r="A7" s="25" t="s">
        <v>30</v>
      </c>
      <c r="B7" s="143">
        <v>30</v>
      </c>
      <c r="C7" s="23" t="s">
        <v>18</v>
      </c>
    </row>
    <row r="8" spans="1:3" ht="12.75">
      <c r="A8" s="25" t="s">
        <v>16</v>
      </c>
      <c r="B8" s="143">
        <v>80</v>
      </c>
      <c r="C8" s="23" t="s">
        <v>19</v>
      </c>
    </row>
    <row r="9" spans="1:3" ht="12.75">
      <c r="A9" s="25" t="s">
        <v>17</v>
      </c>
      <c r="B9" s="144" t="s">
        <v>20</v>
      </c>
      <c r="C9" s="23" t="s">
        <v>18</v>
      </c>
    </row>
    <row r="10" spans="1:2" ht="12.75">
      <c r="A10" s="23" t="s">
        <v>4</v>
      </c>
      <c r="B10" s="145"/>
    </row>
    <row r="11" spans="1:3" ht="12.75" hidden="1">
      <c r="A11" s="25"/>
      <c r="B11" s="146">
        <f>b</f>
        <v>1.5</v>
      </c>
      <c r="C11" s="89" t="s">
        <v>6</v>
      </c>
    </row>
    <row r="12" spans="1:3" ht="12.75">
      <c r="A12" s="25" t="s">
        <v>187</v>
      </c>
      <c r="B12" s="147">
        <v>1.5</v>
      </c>
      <c r="C12" s="23" t="s">
        <v>6</v>
      </c>
    </row>
    <row r="13" spans="1:3" ht="12.75">
      <c r="A13" s="25" t="s">
        <v>0</v>
      </c>
      <c r="B13" s="147">
        <v>14.5</v>
      </c>
      <c r="C13" s="23" t="s">
        <v>6</v>
      </c>
    </row>
    <row r="14" spans="1:3" ht="12.75">
      <c r="A14" s="25" t="s">
        <v>1</v>
      </c>
      <c r="B14" s="148">
        <f>2.8*10^6</f>
        <v>2800000</v>
      </c>
      <c r="C14" s="23" t="s">
        <v>31</v>
      </c>
    </row>
    <row r="15" spans="1:2" ht="12.75">
      <c r="A15" s="25" t="s">
        <v>2</v>
      </c>
      <c r="B15" s="147"/>
    </row>
    <row r="16" spans="1:3" s="28" customFormat="1" ht="12.75">
      <c r="A16" s="26" t="s">
        <v>32</v>
      </c>
      <c r="B16" s="147">
        <v>1.9</v>
      </c>
      <c r="C16" s="28" t="s">
        <v>33</v>
      </c>
    </row>
    <row r="17" spans="1:3" s="28" customFormat="1" ht="12.75">
      <c r="A17" s="26" t="s">
        <v>34</v>
      </c>
      <c r="B17" s="147">
        <v>16</v>
      </c>
      <c r="C17" s="28" t="s">
        <v>7</v>
      </c>
    </row>
    <row r="18" spans="1:3" s="28" customFormat="1" ht="12.75">
      <c r="A18" s="29" t="s">
        <v>3</v>
      </c>
      <c r="B18" s="147">
        <v>1.5</v>
      </c>
      <c r="C18" s="28" t="s">
        <v>31</v>
      </c>
    </row>
    <row r="19" spans="1:3" s="28" customFormat="1" ht="12.75">
      <c r="A19" s="29" t="s">
        <v>5</v>
      </c>
      <c r="B19" s="147">
        <v>600</v>
      </c>
      <c r="C19" s="28" t="s">
        <v>35</v>
      </c>
    </row>
    <row r="20" spans="1:2" s="28" customFormat="1" ht="12.75">
      <c r="A20" s="29"/>
      <c r="B20" s="15"/>
    </row>
    <row r="21" spans="1:2" s="28" customFormat="1" ht="12.75">
      <c r="A21" s="28" t="s">
        <v>8</v>
      </c>
      <c r="B21" s="27"/>
    </row>
    <row r="22" spans="1:2" s="32" customFormat="1" ht="12.75">
      <c r="A22" s="30" t="s">
        <v>9</v>
      </c>
      <c r="B22" s="31"/>
    </row>
    <row r="23" spans="1:2" s="32" customFormat="1" ht="12.75">
      <c r="A23" s="32" t="s">
        <v>10</v>
      </c>
      <c r="B23" s="31"/>
    </row>
    <row r="24" s="32" customFormat="1" ht="14.25">
      <c r="B24" s="31" t="s">
        <v>188</v>
      </c>
    </row>
    <row r="25" spans="1:2" s="32" customFormat="1" ht="14.25">
      <c r="A25" s="32" t="s">
        <v>11</v>
      </c>
      <c r="B25" s="33" t="s">
        <v>36</v>
      </c>
    </row>
    <row r="26" spans="1:4" s="32" customFormat="1" ht="14.25">
      <c r="A26" s="32" t="s">
        <v>29</v>
      </c>
      <c r="B26" s="31"/>
      <c r="C26" s="34" t="s">
        <v>37</v>
      </c>
      <c r="D26" s="33">
        <v>0.9</v>
      </c>
    </row>
    <row r="27" s="32" customFormat="1" ht="14.25">
      <c r="B27" s="33" t="s">
        <v>38</v>
      </c>
    </row>
    <row r="28" spans="2:3" s="32" customFormat="1" ht="14.25">
      <c r="B28" s="34" t="s">
        <v>189</v>
      </c>
      <c r="C28" s="90">
        <f>1+1/B12</f>
        <v>1.6666666666666665</v>
      </c>
    </row>
    <row r="29" spans="1:3" s="32" customFormat="1" ht="14.25">
      <c r="A29" s="34" t="s">
        <v>39</v>
      </c>
      <c r="B29" s="147">
        <f>D26*C28*b</f>
        <v>2.25</v>
      </c>
      <c r="C29" s="32" t="s">
        <v>6</v>
      </c>
    </row>
    <row r="31" spans="1:2" s="37" customFormat="1" ht="12.75">
      <c r="A31" s="35" t="s">
        <v>40</v>
      </c>
      <c r="B31" s="36"/>
    </row>
    <row r="32" spans="1:2" s="37" customFormat="1" ht="12.75">
      <c r="A32" s="37" t="s">
        <v>12</v>
      </c>
      <c r="B32" s="36"/>
    </row>
    <row r="33" spans="1:4" ht="15" hidden="1">
      <c r="A33" s="37" t="s">
        <v>190</v>
      </c>
      <c r="B33" s="38" t="s">
        <v>41</v>
      </c>
      <c r="C33" s="39">
        <f>E*b*a^3/12</f>
        <v>1181250</v>
      </c>
      <c r="D33" s="37" t="s">
        <v>42</v>
      </c>
    </row>
    <row r="34" spans="2:4" s="37" customFormat="1" ht="15">
      <c r="B34" s="38" t="s">
        <v>191</v>
      </c>
      <c r="C34" s="39">
        <f>E*b^4*0.05</f>
        <v>708750</v>
      </c>
      <c r="D34" s="37" t="s">
        <v>42</v>
      </c>
    </row>
    <row r="35" spans="1:2" s="37" customFormat="1" ht="12.75">
      <c r="A35" s="37" t="s">
        <v>13</v>
      </c>
      <c r="B35" s="36"/>
    </row>
    <row r="36" ht="12.75"/>
    <row r="37" spans="2:3" s="37" customFormat="1" ht="12.75">
      <c r="B37" s="36"/>
      <c r="C37" s="40"/>
    </row>
    <row r="38" ht="12.75"/>
    <row r="39" spans="1:2" ht="12.75">
      <c r="A39" s="26" t="s">
        <v>43</v>
      </c>
      <c r="B39" s="41">
        <f>(m*btt/EI)^0.2</f>
        <v>0.28573809127083305</v>
      </c>
    </row>
    <row r="40" spans="1:2" s="37" customFormat="1" ht="14.25">
      <c r="A40" s="35" t="s">
        <v>44</v>
      </c>
      <c r="B40" s="36"/>
    </row>
    <row r="41" spans="1:2" s="37" customFormat="1" ht="12.75">
      <c r="A41" s="37" t="s">
        <v>14</v>
      </c>
      <c r="B41" s="36"/>
    </row>
    <row r="42" spans="2:4" s="37" customFormat="1" ht="14.25">
      <c r="B42" s="38" t="s">
        <v>45</v>
      </c>
      <c r="C42" s="42">
        <f>anpha*h</f>
        <v>4.143202323427079</v>
      </c>
      <c r="D42" s="37" t="s">
        <v>6</v>
      </c>
    </row>
    <row r="43" ht="12.75"/>
    <row r="44" spans="2:3" s="37" customFormat="1" ht="12.75">
      <c r="B44" s="36"/>
      <c r="C44" s="70">
        <f>m/anpha/EI</f>
        <v>0.002962716111092256</v>
      </c>
    </row>
    <row r="45" ht="12.75"/>
    <row r="46" ht="14.25">
      <c r="A46" s="23" t="s">
        <v>195</v>
      </c>
    </row>
    <row r="47" ht="14.25">
      <c r="A47" s="23" t="s">
        <v>192</v>
      </c>
    </row>
    <row r="48" ht="12.75">
      <c r="A48" s="23" t="s">
        <v>193</v>
      </c>
    </row>
    <row r="49" ht="12.75"/>
    <row r="50" ht="12.75"/>
    <row r="51" ht="12.75"/>
    <row r="52" ht="12.75"/>
    <row r="53" ht="12.75"/>
    <row r="54" ht="12.75"/>
    <row r="55" ht="12.75"/>
    <row r="56" ht="12.75"/>
    <row r="57" spans="1:2" s="37" customFormat="1" ht="12.75">
      <c r="A57" s="43" t="s">
        <v>194</v>
      </c>
      <c r="B57" s="36"/>
    </row>
    <row r="59" spans="1:17" s="37" customFormat="1" ht="14.25">
      <c r="A59" s="44" t="s">
        <v>46</v>
      </c>
      <c r="B59" s="44" t="s">
        <v>47</v>
      </c>
      <c r="C59" s="44" t="s">
        <v>48</v>
      </c>
      <c r="D59" s="44" t="s">
        <v>49</v>
      </c>
      <c r="E59" s="44" t="s">
        <v>50</v>
      </c>
      <c r="K59" s="36"/>
      <c r="L59" s="36"/>
      <c r="M59" s="36"/>
      <c r="N59" s="36"/>
      <c r="O59" s="36"/>
      <c r="P59" s="36"/>
      <c r="Q59" s="36"/>
    </row>
    <row r="60" spans="1:17" s="3" customFormat="1" ht="12.75">
      <c r="A60" s="149">
        <v>4</v>
      </c>
      <c r="B60" s="150">
        <v>266.061</v>
      </c>
      <c r="C60" s="150">
        <v>279.996</v>
      </c>
      <c r="D60" s="150">
        <v>176.709</v>
      </c>
      <c r="E60" s="150">
        <v>185.996</v>
      </c>
      <c r="K60" s="15"/>
      <c r="L60" s="15"/>
      <c r="M60" s="15"/>
      <c r="N60" s="16"/>
      <c r="O60" s="15"/>
      <c r="P60" s="15"/>
      <c r="Q60" s="15"/>
    </row>
    <row r="61" spans="1:17" s="3" customFormat="1" ht="12.75">
      <c r="A61" s="149">
        <v>4.5</v>
      </c>
      <c r="B61" s="150">
        <v>788.091</v>
      </c>
      <c r="C61" s="150">
        <v>795.764</v>
      </c>
      <c r="D61" s="150">
        <v>525.155</v>
      </c>
      <c r="E61" s="150">
        <v>529.831</v>
      </c>
      <c r="K61" s="15"/>
      <c r="L61" s="15"/>
      <c r="M61" s="15"/>
      <c r="N61" s="15"/>
      <c r="P61" s="15"/>
      <c r="Q61" s="15"/>
    </row>
    <row r="62" spans="1:17" s="3" customFormat="1" ht="12.75">
      <c r="A62" s="17">
        <f>C42</f>
        <v>4.143202323427079</v>
      </c>
      <c r="B62" s="18">
        <f>(B61-B60)/($A$61-$A$60)*($A$62-$A$60)+B60</f>
        <v>415.57281779727646</v>
      </c>
      <c r="C62" s="18">
        <f>(C61-C60)/($A$61-$A$60)*($A$62-$A$60)+C60</f>
        <v>427.7143518986758</v>
      </c>
      <c r="D62" s="18">
        <f>(D61-D60)/($A$61-$A$60)*($A$62-$A$60)+D60</f>
        <v>276.5055535777442</v>
      </c>
      <c r="E62" s="18">
        <f>(E61-E60)/($A$61-$A$60)*($A$62-$A$60)+E60</f>
        <v>284.47194175109973</v>
      </c>
      <c r="K62" s="19"/>
      <c r="L62" s="20"/>
      <c r="M62" s="20"/>
      <c r="N62" s="20"/>
      <c r="O62" s="20"/>
      <c r="P62" s="20"/>
      <c r="Q62" s="20"/>
    </row>
    <row r="63" spans="1:17" ht="12.75">
      <c r="A63" s="45"/>
      <c r="B63" s="46"/>
      <c r="C63" s="46"/>
      <c r="D63" s="46"/>
      <c r="E63" s="46"/>
      <c r="F63" s="47"/>
      <c r="K63" s="48"/>
      <c r="L63" s="24"/>
      <c r="M63" s="24"/>
      <c r="N63" s="24"/>
      <c r="O63" s="24"/>
      <c r="P63" s="24"/>
      <c r="Q63" s="24"/>
    </row>
    <row r="64" spans="1:17" ht="14.25">
      <c r="A64" s="49" t="s">
        <v>46</v>
      </c>
      <c r="B64" s="49" t="s">
        <v>53</v>
      </c>
      <c r="C64" s="49" t="s">
        <v>54</v>
      </c>
      <c r="D64" s="49" t="s">
        <v>55</v>
      </c>
      <c r="E64" s="49" t="s">
        <v>56</v>
      </c>
      <c r="K64" s="24"/>
      <c r="L64" s="24"/>
      <c r="M64" s="24"/>
      <c r="N64" s="24"/>
      <c r="O64" s="24"/>
      <c r="P64" s="24"/>
      <c r="Q64" s="24"/>
    </row>
    <row r="65" spans="1:17" s="3" customFormat="1" ht="12.75">
      <c r="A65" s="149">
        <f>A60</f>
        <v>4</v>
      </c>
      <c r="B65" s="150">
        <v>190.834</v>
      </c>
      <c r="C65" s="150">
        <v>200.047</v>
      </c>
      <c r="D65" s="150">
        <v>109.012</v>
      </c>
      <c r="E65" s="150">
        <v>114.722</v>
      </c>
      <c r="K65" s="15"/>
      <c r="L65" s="15"/>
      <c r="M65" s="15"/>
      <c r="N65" s="15"/>
      <c r="O65" s="15"/>
      <c r="P65" s="15"/>
      <c r="Q65" s="15"/>
    </row>
    <row r="66" spans="1:17" s="3" customFormat="1" ht="12.75">
      <c r="A66" s="149">
        <v>4.5</v>
      </c>
      <c r="B66" s="150">
        <v>567.247</v>
      </c>
      <c r="C66" s="150">
        <v>570.666</v>
      </c>
      <c r="D66" s="150">
        <v>324.088</v>
      </c>
      <c r="E66" s="150">
        <v>327.749</v>
      </c>
      <c r="K66" s="15"/>
      <c r="L66" s="15"/>
      <c r="M66" s="15"/>
      <c r="N66" s="15"/>
      <c r="O66" s="15"/>
      <c r="P66" s="15"/>
      <c r="Q66" s="15"/>
    </row>
    <row r="67" spans="1:17" s="3" customFormat="1" ht="12.75">
      <c r="A67" s="21">
        <f>A62</f>
        <v>4.143202323427079</v>
      </c>
      <c r="B67" s="22">
        <f>(B66-B65)/($A$61-$A$60)*($A$62-$A$60)+B65</f>
        <v>298.64043233631446</v>
      </c>
      <c r="C67" s="22">
        <f>(C66-C65)/($A$61-$A$60)*($A$62-$A$60)+C65</f>
        <v>306.19400381244145</v>
      </c>
      <c r="D67" s="22">
        <f>(D66-D65)/($A$61-$A$60)*($A$62-$A$60)+D65</f>
        <v>170.61076582680505</v>
      </c>
      <c r="E67" s="22">
        <f>(E66-E65)/($A$61-$A$60)*($A$62-$A$60)+E65</f>
        <v>175.7339227054009</v>
      </c>
      <c r="K67" s="19"/>
      <c r="L67" s="20"/>
      <c r="M67" s="20"/>
      <c r="N67" s="20"/>
      <c r="O67" s="20"/>
      <c r="P67" s="20"/>
      <c r="Q67" s="20"/>
    </row>
    <row r="69" spans="1:3" s="28" customFormat="1" ht="15.75">
      <c r="A69" s="23"/>
      <c r="B69" s="26" t="s">
        <v>59</v>
      </c>
      <c r="C69" s="28">
        <f>1/anpha^3/EI*(B62+C44*C62)/(D67+C44*E67)</f>
        <v>0.00014731337152745162</v>
      </c>
    </row>
    <row r="70" spans="2:3" s="28" customFormat="1" ht="15.75">
      <c r="B70" s="26" t="s">
        <v>60</v>
      </c>
      <c r="C70" s="28">
        <f>1/anpha^2/EI*(D62+C44*E62)/(D67+C44*E67)</f>
        <v>2.800699500236467E-05</v>
      </c>
    </row>
    <row r="71" spans="2:3" s="28" customFormat="1" ht="15.75">
      <c r="B71" s="26" t="s">
        <v>61</v>
      </c>
      <c r="C71" s="28">
        <f>1/anpha/EI*(B67+C44*C67)/(D67+C44*E67)</f>
        <v>8.643206474794912E-06</v>
      </c>
    </row>
    <row r="72" s="28" customFormat="1" ht="12.75">
      <c r="B72" s="27"/>
    </row>
    <row r="73" spans="1:2" s="37" customFormat="1" ht="14.25">
      <c r="A73" s="35" t="s">
        <v>62</v>
      </c>
      <c r="B73" s="36"/>
    </row>
    <row r="74" spans="2:4" s="37" customFormat="1" ht="15.75">
      <c r="B74" s="38" t="s">
        <v>63</v>
      </c>
      <c r="C74" s="37">
        <f>C69*Ho+C70*Mo</f>
        <v>0.006659960746012722</v>
      </c>
      <c r="D74" s="37" t="s">
        <v>6</v>
      </c>
    </row>
    <row r="75" spans="1:4" s="28" customFormat="1" ht="15.75">
      <c r="A75" s="37"/>
      <c r="B75" s="26" t="s">
        <v>64</v>
      </c>
      <c r="C75" s="28">
        <f>-(C70*Ho+C71*Mo)</f>
        <v>-0.001531666368054533</v>
      </c>
      <c r="D75" s="28" t="s">
        <v>21</v>
      </c>
    </row>
    <row r="76" s="28" customFormat="1" ht="12.75">
      <c r="B76" s="27"/>
    </row>
    <row r="77" spans="1:2" s="32" customFormat="1" ht="12.75">
      <c r="A77" s="30" t="s">
        <v>22</v>
      </c>
      <c r="B77" s="31"/>
    </row>
    <row r="78" s="32" customFormat="1" ht="12.75">
      <c r="B78" s="31"/>
    </row>
    <row r="79" spans="1:2" s="32" customFormat="1" ht="12.75">
      <c r="A79" s="32" t="s">
        <v>23</v>
      </c>
      <c r="B79" s="31"/>
    </row>
    <row r="80" s="32" customFormat="1" ht="12.75">
      <c r="B80" s="31"/>
    </row>
    <row r="81" s="32" customFormat="1" ht="12.75">
      <c r="B81" s="31"/>
    </row>
    <row r="82" s="32" customFormat="1" ht="16.5" customHeight="1">
      <c r="B82" s="31"/>
    </row>
    <row r="83" spans="1:4" s="32" customFormat="1" ht="16.5" customHeight="1" hidden="1">
      <c r="A83" s="50" t="s">
        <v>24</v>
      </c>
      <c r="B83" s="50">
        <f>C75/anpha</f>
        <v>-0.005360385663816741</v>
      </c>
      <c r="C83" s="50">
        <f>Mo/(anpha)^2/EI</f>
        <v>0.0013824856639007852</v>
      </c>
      <c r="D83" s="50">
        <f>Ho/(anpha)^3/EI</f>
        <v>0.001814361262291087</v>
      </c>
    </row>
    <row r="84" spans="1:4" s="52" customFormat="1" ht="16.5" customHeight="1">
      <c r="A84" s="51"/>
      <c r="B84" s="51"/>
      <c r="C84" s="51"/>
      <c r="D84" s="51"/>
    </row>
    <row r="85" spans="1:6" s="32" customFormat="1" ht="14.25">
      <c r="A85" s="53" t="s">
        <v>65</v>
      </c>
      <c r="B85" s="53" t="s">
        <v>51</v>
      </c>
      <c r="C85" s="53" t="s">
        <v>52</v>
      </c>
      <c r="D85" s="53" t="s">
        <v>57</v>
      </c>
      <c r="E85" s="53" t="s">
        <v>58</v>
      </c>
      <c r="F85" s="53" t="s">
        <v>66</v>
      </c>
    </row>
    <row r="86" spans="1:6" s="3" customFormat="1" ht="12.75">
      <c r="A86" s="1">
        <v>0</v>
      </c>
      <c r="B86" s="151">
        <v>0</v>
      </c>
      <c r="C86" s="151">
        <v>0</v>
      </c>
      <c r="D86" s="151">
        <v>1</v>
      </c>
      <c r="E86" s="151">
        <v>0</v>
      </c>
      <c r="F86" s="2">
        <f>yo*B86</f>
        <v>0</v>
      </c>
    </row>
    <row r="87" spans="1:6" s="3" customFormat="1" ht="12.75">
      <c r="A87" s="4">
        <f>+A86+0.2</f>
        <v>0.2</v>
      </c>
      <c r="B87" s="152">
        <v>-0.00133</v>
      </c>
      <c r="C87" s="152">
        <v>-0.00013</v>
      </c>
      <c r="D87" s="152">
        <v>0.99999</v>
      </c>
      <c r="E87" s="152">
        <v>0.2</v>
      </c>
      <c r="F87" s="5">
        <f aca="true" t="shared" si="0" ref="F87:F105">yo*B87</f>
        <v>-8.85774779219692E-06</v>
      </c>
    </row>
    <row r="88" spans="1:6" s="3" customFormat="1" ht="12.75">
      <c r="A88" s="4">
        <f aca="true" t="shared" si="1" ref="A88:A101">+A87+0.2</f>
        <v>0.4</v>
      </c>
      <c r="B88" s="152">
        <v>-0.01067</v>
      </c>
      <c r="C88" s="152">
        <v>-0.00213</v>
      </c>
      <c r="D88" s="152">
        <v>0.99974</v>
      </c>
      <c r="E88" s="152">
        <v>0.39998</v>
      </c>
      <c r="F88" s="5">
        <f t="shared" si="0"/>
        <v>-7.106178115995575E-05</v>
      </c>
    </row>
    <row r="89" spans="1:6" s="3" customFormat="1" ht="12.75">
      <c r="A89" s="4">
        <f t="shared" si="1"/>
        <v>0.6000000000000001</v>
      </c>
      <c r="B89" s="152">
        <v>-0.036</v>
      </c>
      <c r="C89" s="152">
        <v>-0.0108</v>
      </c>
      <c r="D89" s="152">
        <v>0.99806</v>
      </c>
      <c r="E89" s="152">
        <v>0.59974</v>
      </c>
      <c r="F89" s="5">
        <f t="shared" si="0"/>
        <v>-0.00023975858685645795</v>
      </c>
    </row>
    <row r="90" spans="1:6" s="3" customFormat="1" ht="12.75">
      <c r="A90" s="4">
        <f t="shared" si="1"/>
        <v>0.8</v>
      </c>
      <c r="B90" s="152">
        <v>-0.08532</v>
      </c>
      <c r="C90" s="152">
        <v>-0.03412</v>
      </c>
      <c r="D90" s="152">
        <v>0.99181</v>
      </c>
      <c r="E90" s="152">
        <v>0.79854</v>
      </c>
      <c r="F90" s="5">
        <f t="shared" si="0"/>
        <v>-0.0005682278508498054</v>
      </c>
    </row>
    <row r="91" spans="1:6" s="3" customFormat="1" ht="12.75">
      <c r="A91" s="4">
        <f t="shared" si="1"/>
        <v>1</v>
      </c>
      <c r="B91" s="152">
        <v>-0.16652</v>
      </c>
      <c r="C91" s="152">
        <v>-0.08329</v>
      </c>
      <c r="D91" s="152">
        <v>0.97501</v>
      </c>
      <c r="E91" s="152">
        <v>0.99445</v>
      </c>
      <c r="F91" s="5">
        <f t="shared" si="0"/>
        <v>-0.0011090166634260385</v>
      </c>
    </row>
    <row r="92" spans="1:6" s="3" customFormat="1" ht="12.75">
      <c r="A92" s="4">
        <f t="shared" si="1"/>
        <v>1.2</v>
      </c>
      <c r="B92" s="152">
        <v>-0.28737</v>
      </c>
      <c r="C92" s="152">
        <v>-0.1726</v>
      </c>
      <c r="D92" s="152">
        <v>0.93783</v>
      </c>
      <c r="E92" s="152">
        <v>1.18342</v>
      </c>
      <c r="F92" s="5">
        <f t="shared" si="0"/>
        <v>-0.0019138729195816758</v>
      </c>
    </row>
    <row r="93" spans="1:6" s="3" customFormat="1" ht="12.75">
      <c r="A93" s="4">
        <f t="shared" si="1"/>
        <v>1.4</v>
      </c>
      <c r="B93" s="152">
        <v>-0.45515</v>
      </c>
      <c r="C93" s="152">
        <v>-0.31933</v>
      </c>
      <c r="D93" s="152">
        <v>0.86573</v>
      </c>
      <c r="E93" s="152">
        <v>1.35821</v>
      </c>
      <c r="F93" s="5">
        <f t="shared" si="0"/>
        <v>-0.00303128113354769</v>
      </c>
    </row>
    <row r="94" spans="1:6" s="3" customFormat="1" ht="12.75">
      <c r="A94" s="4">
        <f t="shared" si="1"/>
        <v>1.5999999999999999</v>
      </c>
      <c r="B94" s="152">
        <v>-0.67629</v>
      </c>
      <c r="C94" s="152">
        <v>-0.54348</v>
      </c>
      <c r="D94" s="152">
        <v>0.73859</v>
      </c>
      <c r="E94" s="152">
        <v>1.50695</v>
      </c>
      <c r="F94" s="5">
        <f t="shared" si="0"/>
        <v>-0.004504064852920943</v>
      </c>
    </row>
    <row r="95" spans="1:6" s="3" customFormat="1" ht="12.75">
      <c r="A95" s="4">
        <f t="shared" si="1"/>
        <v>1.7999999999999998</v>
      </c>
      <c r="B95" s="152">
        <v>-0.95564</v>
      </c>
      <c r="C95" s="152">
        <v>-0.86715</v>
      </c>
      <c r="D95" s="152">
        <v>0.52997</v>
      </c>
      <c r="E95" s="152">
        <v>1.61162</v>
      </c>
      <c r="F95" s="5">
        <f t="shared" si="0"/>
        <v>-0.006364524887319598</v>
      </c>
    </row>
    <row r="96" spans="1:6" s="3" customFormat="1" ht="12.75">
      <c r="A96" s="4">
        <f t="shared" si="1"/>
        <v>1.9999999999999998</v>
      </c>
      <c r="B96" s="153">
        <v>-1.29535</v>
      </c>
      <c r="C96" s="153">
        <v>-1.31361</v>
      </c>
      <c r="D96" s="153">
        <v>0.20675</v>
      </c>
      <c r="E96" s="153">
        <v>1.64628</v>
      </c>
      <c r="F96" s="5">
        <f t="shared" si="0"/>
        <v>-0.008626980152347578</v>
      </c>
    </row>
    <row r="97" spans="1:6" s="3" customFormat="1" ht="12.75">
      <c r="A97" s="4">
        <f t="shared" si="1"/>
        <v>2.1999999999999997</v>
      </c>
      <c r="B97" s="153">
        <v>-1.69334</v>
      </c>
      <c r="C97" s="153">
        <v>-1.90567</v>
      </c>
      <c r="D97" s="153">
        <v>-0.27087</v>
      </c>
      <c r="E97" s="153">
        <v>1.57538</v>
      </c>
      <c r="F97" s="5">
        <f t="shared" si="0"/>
        <v>-0.011277577929653183</v>
      </c>
    </row>
    <row r="98" spans="1:6" s="3" customFormat="1" ht="12.75">
      <c r="A98" s="4">
        <f t="shared" si="1"/>
        <v>2.4</v>
      </c>
      <c r="B98" s="153">
        <v>-2.14117</v>
      </c>
      <c r="C98" s="153">
        <v>-2.66329</v>
      </c>
      <c r="D98" s="153">
        <v>-0.94885</v>
      </c>
      <c r="E98" s="153">
        <v>1.35201</v>
      </c>
      <c r="F98" s="5">
        <f t="shared" si="0"/>
        <v>-0.014260108150540058</v>
      </c>
    </row>
    <row r="99" spans="1:6" s="3" customFormat="1" ht="12.75">
      <c r="A99" s="4">
        <f t="shared" si="1"/>
        <v>2.6</v>
      </c>
      <c r="B99" s="153">
        <v>-2.62126</v>
      </c>
      <c r="C99" s="153">
        <v>-3.59987</v>
      </c>
      <c r="D99" s="153">
        <v>-1.87734</v>
      </c>
      <c r="E99" s="153">
        <v>0.91679</v>
      </c>
      <c r="F99" s="5">
        <f t="shared" si="0"/>
        <v>-0.017457488705093307</v>
      </c>
    </row>
    <row r="100" spans="1:6" s="3" customFormat="1" ht="12.75">
      <c r="A100" s="4">
        <f t="shared" si="1"/>
        <v>2.8000000000000003</v>
      </c>
      <c r="B100" s="153">
        <v>-3.10341</v>
      </c>
      <c r="C100" s="153">
        <v>-4.71748</v>
      </c>
      <c r="D100" s="153">
        <v>-3.10791</v>
      </c>
      <c r="E100" s="153">
        <v>0.19729</v>
      </c>
      <c r="F100" s="5">
        <f t="shared" si="0"/>
        <v>-0.020668588778783338</v>
      </c>
    </row>
    <row r="101" spans="1:6" s="3" customFormat="1" ht="12.75">
      <c r="A101" s="4">
        <f t="shared" si="1"/>
        <v>3.0000000000000004</v>
      </c>
      <c r="B101" s="153">
        <v>-3.54058</v>
      </c>
      <c r="C101" s="153">
        <v>-5.99979</v>
      </c>
      <c r="D101" s="153">
        <v>-4.68788</v>
      </c>
      <c r="E101" s="153">
        <v>-0.89126</v>
      </c>
      <c r="F101" s="5">
        <f t="shared" si="0"/>
        <v>-0.02358012381811772</v>
      </c>
    </row>
    <row r="102" spans="1:6" s="3" customFormat="1" ht="12.75">
      <c r="A102" s="4">
        <v>3.5</v>
      </c>
      <c r="B102" s="153">
        <v>-3.91921</v>
      </c>
      <c r="C102" s="153">
        <v>-9.54367</v>
      </c>
      <c r="D102" s="153">
        <v>-10.3404</v>
      </c>
      <c r="E102" s="153">
        <v>-5.85402</v>
      </c>
      <c r="F102" s="5">
        <f t="shared" si="0"/>
        <v>-0.026101784755380518</v>
      </c>
    </row>
    <row r="103" spans="1:6" s="3" customFormat="1" ht="12.75">
      <c r="A103" s="104">
        <v>4</v>
      </c>
      <c r="B103" s="154">
        <v>-1.61428</v>
      </c>
      <c r="C103" s="154">
        <v>-11.73066</v>
      </c>
      <c r="D103" s="154">
        <v>-17.9186</v>
      </c>
      <c r="E103" s="154">
        <v>-15.0755</v>
      </c>
      <c r="F103" s="103">
        <f t="shared" si="0"/>
        <v>-0.010751041433073415</v>
      </c>
    </row>
    <row r="104" spans="1:6" s="3" customFormat="1" ht="12.75" hidden="1">
      <c r="A104" s="96">
        <v>4.5</v>
      </c>
      <c r="B104" s="97">
        <v>6.63993</v>
      </c>
      <c r="C104" s="97">
        <v>-7.60958</v>
      </c>
      <c r="D104" s="97">
        <v>-24.0843</v>
      </c>
      <c r="E104" s="97">
        <v>-28.4841</v>
      </c>
      <c r="F104" s="95">
        <f t="shared" si="0"/>
        <v>0.04422167315627225</v>
      </c>
    </row>
    <row r="105" spans="1:6" s="3" customFormat="1" ht="12.75" hidden="1">
      <c r="A105" s="6">
        <v>5</v>
      </c>
      <c r="B105" s="92">
        <v>24.9767</v>
      </c>
      <c r="C105" s="92">
        <v>11.9485</v>
      </c>
      <c r="D105" s="92">
        <v>-19.6011</v>
      </c>
      <c r="E105" s="92">
        <v>-41.3554</v>
      </c>
      <c r="F105" s="7">
        <f t="shared" si="0"/>
        <v>0.16634384156493595</v>
      </c>
    </row>
    <row r="106" spans="1:6" ht="12.75">
      <c r="A106" s="54"/>
      <c r="B106" s="55"/>
      <c r="C106" s="55"/>
      <c r="D106" s="55"/>
      <c r="E106" s="55"/>
      <c r="F106" s="55"/>
    </row>
    <row r="107" spans="1:11" s="28" customFormat="1" ht="15.75">
      <c r="A107" s="56" t="s">
        <v>65</v>
      </c>
      <c r="B107" s="57" t="s">
        <v>67</v>
      </c>
      <c r="C107" s="58" t="s">
        <v>68</v>
      </c>
      <c r="D107" s="58" t="s">
        <v>69</v>
      </c>
      <c r="E107" s="58" t="s">
        <v>196</v>
      </c>
      <c r="F107" s="27"/>
      <c r="H107" s="59"/>
      <c r="I107" s="60"/>
      <c r="J107" s="135" t="s">
        <v>230</v>
      </c>
      <c r="K107" s="135"/>
    </row>
    <row r="108" spans="1:11" s="3" customFormat="1" ht="12.75">
      <c r="A108" s="1">
        <f aca="true" t="shared" si="2" ref="A108:A127">A86</f>
        <v>0</v>
      </c>
      <c r="B108" s="2">
        <f aca="true" t="shared" si="3" ref="B108:B127">fo*C86/anpha</f>
        <v>0</v>
      </c>
      <c r="C108" s="2">
        <f aca="true" t="shared" si="4" ref="C108:C127">Mo*D86/(anpha)^2/EI</f>
        <v>0.0013824856639007852</v>
      </c>
      <c r="D108" s="2">
        <f>Ho*E86/anpha^3/EI</f>
        <v>0</v>
      </c>
      <c r="E108" s="2">
        <f aca="true" t="shared" si="5" ref="E108:E123">(F86+B108+C108+D108)*anpha^2*EI</f>
        <v>80</v>
      </c>
      <c r="F108" s="8"/>
      <c r="H108" s="9"/>
      <c r="J108" s="10">
        <f aca="true" t="shared" si="6" ref="J108:J117">-A108</f>
        <v>0</v>
      </c>
      <c r="K108" s="10">
        <f aca="true" t="shared" si="7" ref="K108:K117">E108</f>
        <v>80</v>
      </c>
    </row>
    <row r="109" spans="1:11" s="3" customFormat="1" ht="12.75">
      <c r="A109" s="4">
        <f t="shared" si="2"/>
        <v>0.2</v>
      </c>
      <c r="B109" s="5">
        <f t="shared" si="3"/>
        <v>6.968501362961763E-07</v>
      </c>
      <c r="C109" s="5">
        <f t="shared" si="4"/>
        <v>0.0013824718390441461</v>
      </c>
      <c r="D109" s="5">
        <f aca="true" t="shared" si="8" ref="D109:D127">Ho*E87/(anpha^3)/EI</f>
        <v>0.0003628722524582174</v>
      </c>
      <c r="E109" s="5">
        <f t="shared" si="5"/>
        <v>100.52520553131077</v>
      </c>
      <c r="F109" s="8"/>
      <c r="H109" s="9"/>
      <c r="J109" s="10">
        <f t="shared" si="6"/>
        <v>-0.2</v>
      </c>
      <c r="K109" s="10">
        <f t="shared" si="7"/>
        <v>100.52520553131077</v>
      </c>
    </row>
    <row r="110" spans="1:11" s="3" customFormat="1" ht="12.75">
      <c r="A110" s="4">
        <f t="shared" si="2"/>
        <v>0.4</v>
      </c>
      <c r="B110" s="5">
        <f t="shared" si="3"/>
        <v>1.1417621463929657E-05</v>
      </c>
      <c r="C110" s="5">
        <f t="shared" si="4"/>
        <v>0.001382126217628171</v>
      </c>
      <c r="D110" s="5">
        <f t="shared" si="8"/>
        <v>0.0007257082176911889</v>
      </c>
      <c r="E110" s="5">
        <f t="shared" si="5"/>
        <v>118.52218531332696</v>
      </c>
      <c r="F110" s="8"/>
      <c r="H110" s="9"/>
      <c r="J110" s="10">
        <f t="shared" si="6"/>
        <v>-0.4</v>
      </c>
      <c r="K110" s="10">
        <f t="shared" si="7"/>
        <v>118.52218531332696</v>
      </c>
    </row>
    <row r="111" spans="1:11" s="3" customFormat="1" ht="12.75">
      <c r="A111" s="4">
        <f t="shared" si="2"/>
        <v>0.6000000000000001</v>
      </c>
      <c r="B111" s="5">
        <f t="shared" si="3"/>
        <v>5.789216516922081E-05</v>
      </c>
      <c r="C111" s="5">
        <f t="shared" si="4"/>
        <v>0.0013798036417128176</v>
      </c>
      <c r="D111" s="5">
        <f t="shared" si="8"/>
        <v>0.0010881450234464564</v>
      </c>
      <c r="E111" s="5">
        <f t="shared" si="5"/>
        <v>132.28822855329653</v>
      </c>
      <c r="F111" s="8"/>
      <c r="H111" s="9"/>
      <c r="J111" s="10">
        <f t="shared" si="6"/>
        <v>-0.6000000000000001</v>
      </c>
      <c r="K111" s="10">
        <f t="shared" si="7"/>
        <v>132.28822855329653</v>
      </c>
    </row>
    <row r="112" spans="1:11" s="3" customFormat="1" ht="12.75">
      <c r="A112" s="4">
        <f t="shared" si="2"/>
        <v>0.8</v>
      </c>
      <c r="B112" s="5">
        <f t="shared" si="3"/>
        <v>0.0001828963588494272</v>
      </c>
      <c r="C112" s="5">
        <f t="shared" si="4"/>
        <v>0.0013711631063134375</v>
      </c>
      <c r="D112" s="5">
        <f t="shared" si="8"/>
        <v>0.0014488400423899248</v>
      </c>
      <c r="E112" s="5">
        <f t="shared" si="5"/>
        <v>140.88662010907967</v>
      </c>
      <c r="F112" s="8"/>
      <c r="H112" s="9"/>
      <c r="J112" s="10">
        <f t="shared" si="6"/>
        <v>-0.8</v>
      </c>
      <c r="K112" s="10">
        <f t="shared" si="7"/>
        <v>140.88662010907967</v>
      </c>
    </row>
    <row r="113" spans="1:11" s="3" customFormat="1" ht="12.75">
      <c r="A113" s="4">
        <f t="shared" si="2"/>
        <v>1</v>
      </c>
      <c r="B113" s="5">
        <f t="shared" si="3"/>
        <v>0.0004464665219392963</v>
      </c>
      <c r="C113" s="5">
        <f t="shared" si="4"/>
        <v>0.0013479373471599043</v>
      </c>
      <c r="D113" s="5">
        <f t="shared" si="8"/>
        <v>0.001804291557285371</v>
      </c>
      <c r="E113" s="5">
        <f t="shared" si="5"/>
        <v>144.069704473244</v>
      </c>
      <c r="F113" s="8"/>
      <c r="H113" s="9"/>
      <c r="J113" s="10">
        <f t="shared" si="6"/>
        <v>-1</v>
      </c>
      <c r="K113" s="10">
        <f t="shared" si="7"/>
        <v>144.069704473244</v>
      </c>
    </row>
    <row r="114" spans="1:11" s="3" customFormat="1" ht="12.75">
      <c r="A114" s="4">
        <f t="shared" si="2"/>
        <v>1.2</v>
      </c>
      <c r="B114" s="5">
        <f t="shared" si="3"/>
        <v>0.0009252025655747696</v>
      </c>
      <c r="C114" s="5">
        <f t="shared" si="4"/>
        <v>0.0012965365301760734</v>
      </c>
      <c r="D114" s="5">
        <f t="shared" si="8"/>
        <v>0.002147151405020518</v>
      </c>
      <c r="E114" s="5">
        <f t="shared" si="5"/>
        <v>142.06397333699198</v>
      </c>
      <c r="F114" s="8"/>
      <c r="H114" s="9"/>
      <c r="J114" s="10">
        <f t="shared" si="6"/>
        <v>-1.2</v>
      </c>
      <c r="K114" s="10">
        <f t="shared" si="7"/>
        <v>142.06397333699198</v>
      </c>
    </row>
    <row r="115" spans="1:11" s="3" customFormat="1" ht="12.75">
      <c r="A115" s="4">
        <f t="shared" si="2"/>
        <v>1.4</v>
      </c>
      <c r="B115" s="5">
        <f t="shared" si="3"/>
        <v>0.0017117319540266</v>
      </c>
      <c r="C115" s="5">
        <f t="shared" si="4"/>
        <v>0.0011968593138088266</v>
      </c>
      <c r="D115" s="5">
        <f t="shared" si="8"/>
        <v>0.0024642836100563768</v>
      </c>
      <c r="E115" s="5">
        <f t="shared" si="5"/>
        <v>135.50050061204306</v>
      </c>
      <c r="F115" s="8"/>
      <c r="H115" s="9"/>
      <c r="J115" s="10">
        <f t="shared" si="6"/>
        <v>-1.4</v>
      </c>
      <c r="K115" s="10">
        <f t="shared" si="7"/>
        <v>135.50050061204306</v>
      </c>
    </row>
    <row r="116" spans="1:11" s="3" customFormat="1" ht="12.75">
      <c r="A116" s="4">
        <f t="shared" si="2"/>
        <v>1.5999999999999999</v>
      </c>
      <c r="B116" s="5">
        <f t="shared" si="3"/>
        <v>0.002913262400571122</v>
      </c>
      <c r="C116" s="5">
        <f t="shared" si="4"/>
        <v>0.0010210900865004807</v>
      </c>
      <c r="D116" s="5">
        <f t="shared" si="8"/>
        <v>0.0027341517042095537</v>
      </c>
      <c r="E116" s="5">
        <f t="shared" si="5"/>
        <v>125.24914477611799</v>
      </c>
      <c r="F116" s="8"/>
      <c r="H116" s="9"/>
      <c r="J116" s="10">
        <f t="shared" si="6"/>
        <v>-1.5999999999999999</v>
      </c>
      <c r="K116" s="10">
        <f t="shared" si="7"/>
        <v>125.24914477611799</v>
      </c>
    </row>
    <row r="117" spans="1:11" s="3" customFormat="1" ht="12.75">
      <c r="A117" s="4">
        <f t="shared" si="2"/>
        <v>1.7999999999999998</v>
      </c>
      <c r="B117" s="5">
        <f t="shared" si="3"/>
        <v>0.004648258428378686</v>
      </c>
      <c r="C117" s="5">
        <f t="shared" si="4"/>
        <v>0.0007326759272974991</v>
      </c>
      <c r="D117" s="5">
        <f t="shared" si="8"/>
        <v>0.002924060897533562</v>
      </c>
      <c r="E117" s="5">
        <f t="shared" si="5"/>
        <v>112.2887805094467</v>
      </c>
      <c r="F117" s="8"/>
      <c r="H117" s="9"/>
      <c r="J117" s="10">
        <f t="shared" si="6"/>
        <v>-1.7999999999999998</v>
      </c>
      <c r="K117" s="10">
        <f t="shared" si="7"/>
        <v>112.2887805094467</v>
      </c>
    </row>
    <row r="118" spans="1:11" s="3" customFormat="1" ht="12.75">
      <c r="A118" s="4">
        <f t="shared" si="2"/>
        <v>1.9999999999999998</v>
      </c>
      <c r="B118" s="5">
        <f t="shared" si="3"/>
        <v>0.0070414562118463085</v>
      </c>
      <c r="C118" s="5">
        <f t="shared" si="4"/>
        <v>0.00028582891101148735</v>
      </c>
      <c r="D118" s="5">
        <f t="shared" si="8"/>
        <v>0.0029869466588845705</v>
      </c>
      <c r="E118" s="5">
        <f t="shared" si="5"/>
        <v>97.63582645097863</v>
      </c>
      <c r="F118" s="8"/>
      <c r="H118" s="9"/>
      <c r="J118" s="10">
        <f aca="true" t="shared" si="9" ref="J118:J124">-A118</f>
        <v>-1.9999999999999998</v>
      </c>
      <c r="K118" s="10">
        <f aca="true" t="shared" si="10" ref="K118:K124">E118</f>
        <v>97.63582645097863</v>
      </c>
    </row>
    <row r="119" spans="1:11" s="3" customFormat="1" ht="12.75">
      <c r="A119" s="4">
        <f t="shared" si="2"/>
        <v>2.1999999999999997</v>
      </c>
      <c r="B119" s="5">
        <f t="shared" si="3"/>
        <v>0.01021512614796565</v>
      </c>
      <c r="C119" s="5">
        <f t="shared" si="4"/>
        <v>-0.00037447389178080567</v>
      </c>
      <c r="D119" s="5">
        <f t="shared" si="8"/>
        <v>0.0028583084453881326</v>
      </c>
      <c r="E119" s="5">
        <f t="shared" si="5"/>
        <v>82.2508505677669</v>
      </c>
      <c r="F119" s="8"/>
      <c r="H119" s="9"/>
      <c r="J119" s="10">
        <f t="shared" si="9"/>
        <v>-2.1999999999999997</v>
      </c>
      <c r="K119" s="10">
        <f t="shared" si="10"/>
        <v>82.2508505677669</v>
      </c>
    </row>
    <row r="120" spans="1:11" s="3" customFormat="1" ht="12.75">
      <c r="A120" s="4">
        <f t="shared" si="2"/>
        <v>2.4</v>
      </c>
      <c r="B120" s="5">
        <f t="shared" si="3"/>
        <v>0.014276261534586488</v>
      </c>
      <c r="C120" s="5">
        <f t="shared" si="4"/>
        <v>-0.00131177152219226</v>
      </c>
      <c r="D120" s="5">
        <f t="shared" si="8"/>
        <v>0.0024530345702301723</v>
      </c>
      <c r="E120" s="5">
        <f t="shared" si="5"/>
        <v>66.97596726282754</v>
      </c>
      <c r="F120" s="8"/>
      <c r="H120" s="9"/>
      <c r="J120" s="10">
        <f t="shared" si="9"/>
        <v>-2.4</v>
      </c>
      <c r="K120" s="10">
        <f t="shared" si="10"/>
        <v>66.97596726282754</v>
      </c>
    </row>
    <row r="121" spans="1:11" s="3" customFormat="1" ht="12.75">
      <c r="A121" s="4">
        <f t="shared" si="2"/>
        <v>2.6</v>
      </c>
      <c r="B121" s="5">
        <f t="shared" si="3"/>
        <v>0.019296691539603974</v>
      </c>
      <c r="C121" s="5">
        <f t="shared" si="4"/>
        <v>-0.0025953956362675</v>
      </c>
      <c r="D121" s="5">
        <f t="shared" si="8"/>
        <v>0.0016633882616558454</v>
      </c>
      <c r="E121" s="5">
        <f t="shared" si="5"/>
        <v>52.49648418569744</v>
      </c>
      <c r="F121" s="8"/>
      <c r="H121" s="9"/>
      <c r="J121" s="10">
        <f t="shared" si="9"/>
        <v>-2.6</v>
      </c>
      <c r="K121" s="10">
        <f t="shared" si="10"/>
        <v>52.49648418569744</v>
      </c>
    </row>
    <row r="122" spans="1:11" s="3" customFormat="1" ht="12.75">
      <c r="A122" s="4">
        <f t="shared" si="2"/>
        <v>2.8000000000000003</v>
      </c>
      <c r="B122" s="5">
        <f t="shared" si="3"/>
        <v>0.0252875121613422</v>
      </c>
      <c r="C122" s="5">
        <f t="shared" si="4"/>
        <v>-0.004296641019693889</v>
      </c>
      <c r="D122" s="5">
        <f t="shared" si="8"/>
        <v>0.0003579553334374085</v>
      </c>
      <c r="E122" s="5">
        <f t="shared" si="5"/>
        <v>39.36316818696215</v>
      </c>
      <c r="F122" s="8"/>
      <c r="H122" s="9"/>
      <c r="J122" s="10">
        <f t="shared" si="9"/>
        <v>-2.8000000000000003</v>
      </c>
      <c r="K122" s="10">
        <f t="shared" si="10"/>
        <v>39.36316818696215</v>
      </c>
    </row>
    <row r="123" spans="1:11" s="3" customFormat="1" ht="12.75">
      <c r="A123" s="4">
        <f t="shared" si="2"/>
        <v>3.0000000000000004</v>
      </c>
      <c r="B123" s="5">
        <f t="shared" si="3"/>
        <v>0.032161188301911045</v>
      </c>
      <c r="C123" s="5">
        <f t="shared" si="4"/>
        <v>-0.006480926894087213</v>
      </c>
      <c r="D123" s="5">
        <f t="shared" si="8"/>
        <v>-0.001617067618629554</v>
      </c>
      <c r="E123" s="5">
        <f t="shared" si="5"/>
        <v>27.95370591915086</v>
      </c>
      <c r="F123" s="8"/>
      <c r="H123" s="9"/>
      <c r="J123" s="10">
        <f t="shared" si="9"/>
        <v>-3.0000000000000004</v>
      </c>
      <c r="K123" s="10">
        <f t="shared" si="10"/>
        <v>27.95370591915086</v>
      </c>
    </row>
    <row r="124" spans="1:11" s="3" customFormat="1" ht="12.75">
      <c r="A124" s="4">
        <f t="shared" si="2"/>
        <v>3.5</v>
      </c>
      <c r="B124" s="5">
        <f t="shared" si="3"/>
        <v>0.051157751848197916</v>
      </c>
      <c r="C124" s="5">
        <f t="shared" si="4"/>
        <v>-0.01429545475899968</v>
      </c>
      <c r="D124" s="5">
        <f t="shared" si="8"/>
        <v>-0.010621307116677269</v>
      </c>
      <c r="E124" s="5">
        <f>(F102+B124+C124+D124)*anpha^2*EI</f>
        <v>8.055358302822285</v>
      </c>
      <c r="F124" s="8"/>
      <c r="H124" s="9"/>
      <c r="J124" s="10">
        <f t="shared" si="9"/>
        <v>-3.5</v>
      </c>
      <c r="K124" s="10">
        <f t="shared" si="10"/>
        <v>8.055358302822285</v>
      </c>
    </row>
    <row r="125" spans="1:11" s="3" customFormat="1" ht="12.75">
      <c r="A125" s="6">
        <f t="shared" si="2"/>
        <v>4</v>
      </c>
      <c r="B125" s="7">
        <f t="shared" si="3"/>
        <v>0.0628808616911085</v>
      </c>
      <c r="C125" s="7">
        <f t="shared" si="4"/>
        <v>-0.02477220761717261</v>
      </c>
      <c r="D125" s="7">
        <f t="shared" si="8"/>
        <v>-0.02735240320966928</v>
      </c>
      <c r="E125" s="7">
        <f>(F103+B125+C125+D125)*anpha^2*EI</f>
        <v>0.30145303227229037</v>
      </c>
      <c r="F125" s="8"/>
      <c r="H125" s="9"/>
      <c r="J125" s="10">
        <f>-A125</f>
        <v>-4</v>
      </c>
      <c r="K125" s="10">
        <f>E125</f>
        <v>0.30145303227229037</v>
      </c>
    </row>
    <row r="126" spans="1:11" s="3" customFormat="1" ht="12.75" hidden="1">
      <c r="A126" s="104">
        <f t="shared" si="2"/>
        <v>4.5</v>
      </c>
      <c r="B126" s="103">
        <f t="shared" si="3"/>
        <v>0.0407902835396666</v>
      </c>
      <c r="C126" s="103">
        <f t="shared" si="4"/>
        <v>-0.03329619947508568</v>
      </c>
      <c r="D126" s="103">
        <f t="shared" si="8"/>
        <v>-0.05168044763122555</v>
      </c>
      <c r="E126" s="103">
        <f>(F104+B126+C126+D126)*anpha^2*EI</f>
        <v>2.0432524140897437</v>
      </c>
      <c r="F126" s="8"/>
      <c r="H126" s="9"/>
      <c r="J126" s="10"/>
      <c r="K126" s="10"/>
    </row>
    <row r="127" spans="1:11" s="3" customFormat="1" ht="12.75" hidden="1">
      <c r="A127" s="6">
        <f t="shared" si="2"/>
        <v>5</v>
      </c>
      <c r="B127" s="7">
        <f t="shared" si="3"/>
        <v>-0.06404856810411433</v>
      </c>
      <c r="C127" s="7">
        <f t="shared" si="4"/>
        <v>-0.027098239746685678</v>
      </c>
      <c r="D127" s="7">
        <f t="shared" si="8"/>
        <v>-0.07503363574655282</v>
      </c>
      <c r="E127" s="7">
        <f>(F105+B127+C127+D127)*anpha^2*EI</f>
        <v>9.455314979373082</v>
      </c>
      <c r="F127" s="8"/>
      <c r="H127" s="9"/>
      <c r="J127" s="10"/>
      <c r="K127" s="10"/>
    </row>
    <row r="130" ht="12.75">
      <c r="A130" s="23" t="s">
        <v>25</v>
      </c>
    </row>
    <row r="131" ht="12.75">
      <c r="A131" s="23" t="s">
        <v>26</v>
      </c>
    </row>
    <row r="132" ht="12.75"/>
    <row r="133" ht="12.75"/>
    <row r="134" ht="12.75"/>
    <row r="135" ht="12.75">
      <c r="A135" s="23" t="s">
        <v>27</v>
      </c>
    </row>
    <row r="137" spans="1:5" ht="14.25">
      <c r="A137" s="56" t="s">
        <v>65</v>
      </c>
      <c r="B137" s="56" t="s">
        <v>70</v>
      </c>
      <c r="C137" s="56" t="s">
        <v>71</v>
      </c>
      <c r="D137" s="56" t="s">
        <v>72</v>
      </c>
      <c r="E137" s="56" t="s">
        <v>73</v>
      </c>
    </row>
    <row r="138" spans="1:5" s="3" customFormat="1" ht="12.75">
      <c r="A138" s="11">
        <f aca="true" t="shared" si="11" ref="A138:A157">A86</f>
        <v>0</v>
      </c>
      <c r="B138" s="151">
        <v>1</v>
      </c>
      <c r="C138" s="151">
        <v>0</v>
      </c>
      <c r="D138" s="151">
        <v>0</v>
      </c>
      <c r="E138" s="151">
        <v>0</v>
      </c>
    </row>
    <row r="139" spans="1:5" s="3" customFormat="1" ht="12.75">
      <c r="A139" s="12">
        <f t="shared" si="11"/>
        <v>0.2</v>
      </c>
      <c r="B139" s="152">
        <v>1</v>
      </c>
      <c r="C139" s="152">
        <v>0.2</v>
      </c>
      <c r="D139" s="152">
        <v>0.02</v>
      </c>
      <c r="E139" s="152">
        <v>0.00133</v>
      </c>
    </row>
    <row r="140" spans="1:5" s="3" customFormat="1" ht="12.75">
      <c r="A140" s="12">
        <f t="shared" si="11"/>
        <v>0.4</v>
      </c>
      <c r="B140" s="152">
        <v>0.99991</v>
      </c>
      <c r="C140" s="152">
        <v>0.39999</v>
      </c>
      <c r="D140" s="152">
        <v>0.08</v>
      </c>
      <c r="E140" s="152">
        <v>0.01067</v>
      </c>
    </row>
    <row r="141" spans="1:5" s="3" customFormat="1" ht="12.75">
      <c r="A141" s="12">
        <f t="shared" si="11"/>
        <v>0.6000000000000001</v>
      </c>
      <c r="B141" s="152">
        <v>0.99935</v>
      </c>
      <c r="C141" s="152">
        <v>0.59987</v>
      </c>
      <c r="D141" s="152">
        <v>0.17998</v>
      </c>
      <c r="E141" s="152">
        <v>0.036</v>
      </c>
    </row>
    <row r="142" spans="1:5" s="3" customFormat="1" ht="12.75">
      <c r="A142" s="12">
        <f t="shared" si="11"/>
        <v>0.8</v>
      </c>
      <c r="B142" s="152">
        <v>0.99727</v>
      </c>
      <c r="C142" s="152">
        <v>0.79927</v>
      </c>
      <c r="D142" s="152">
        <v>0.31988</v>
      </c>
      <c r="E142" s="152">
        <v>0.08532</v>
      </c>
    </row>
    <row r="143" spans="1:5" s="3" customFormat="1" ht="12.75">
      <c r="A143" s="12">
        <f t="shared" si="11"/>
        <v>1</v>
      </c>
      <c r="B143" s="152">
        <v>0.99167</v>
      </c>
      <c r="C143" s="152">
        <v>0.99722</v>
      </c>
      <c r="D143" s="152">
        <v>0.49941</v>
      </c>
      <c r="E143" s="152">
        <v>0.16657</v>
      </c>
    </row>
    <row r="144" spans="1:5" s="3" customFormat="1" ht="12.75">
      <c r="A144" s="12">
        <f t="shared" si="11"/>
        <v>1.2</v>
      </c>
      <c r="B144" s="152">
        <v>0.97927</v>
      </c>
      <c r="C144" s="152">
        <v>1.19171</v>
      </c>
      <c r="D144" s="152">
        <v>0.71787</v>
      </c>
      <c r="E144" s="152">
        <v>0.28758</v>
      </c>
    </row>
    <row r="145" spans="1:5" s="3" customFormat="1" ht="12.75">
      <c r="A145" s="12">
        <f t="shared" si="11"/>
        <v>1.4</v>
      </c>
      <c r="B145" s="152">
        <v>0.95523</v>
      </c>
      <c r="C145" s="152">
        <v>1.3791</v>
      </c>
      <c r="D145" s="152">
        <v>0.97373</v>
      </c>
      <c r="E145" s="152">
        <v>0.45588</v>
      </c>
    </row>
    <row r="146" spans="1:5" s="3" customFormat="1" ht="12.75">
      <c r="A146" s="12">
        <f t="shared" si="11"/>
        <v>1.5999999999999999</v>
      </c>
      <c r="B146" s="152">
        <v>0.9128</v>
      </c>
      <c r="C146" s="152">
        <v>1.55346</v>
      </c>
      <c r="D146" s="152">
        <v>1.26403</v>
      </c>
      <c r="E146" s="152">
        <v>0.67842</v>
      </c>
    </row>
    <row r="147" spans="1:5" s="3" customFormat="1" ht="12.75">
      <c r="A147" s="12">
        <f t="shared" si="11"/>
        <v>1.7999999999999998</v>
      </c>
      <c r="B147" s="152">
        <v>0.84313</v>
      </c>
      <c r="C147" s="152">
        <v>1.70575</v>
      </c>
      <c r="D147" s="152">
        <v>1.58362</v>
      </c>
      <c r="E147" s="152">
        <v>0.96109</v>
      </c>
    </row>
    <row r="148" spans="1:5" s="3" customFormat="1" ht="12.75">
      <c r="A148" s="12">
        <f t="shared" si="11"/>
        <v>1.9999999999999998</v>
      </c>
      <c r="B148" s="152">
        <v>0.73502</v>
      </c>
      <c r="C148" s="152">
        <v>1.82294</v>
      </c>
      <c r="D148" s="152">
        <v>1.92402</v>
      </c>
      <c r="E148" s="152">
        <v>1.30801</v>
      </c>
    </row>
    <row r="149" spans="1:5" s="3" customFormat="1" ht="12.75">
      <c r="A149" s="12">
        <f t="shared" si="11"/>
        <v>2.1999999999999997</v>
      </c>
      <c r="B149" s="152">
        <v>0.57491</v>
      </c>
      <c r="C149" s="152">
        <v>1.88709</v>
      </c>
      <c r="D149" s="152">
        <v>2.27217</v>
      </c>
      <c r="E149" s="152">
        <v>1.72042</v>
      </c>
    </row>
    <row r="150" spans="1:5" s="3" customFormat="1" ht="12.75">
      <c r="A150" s="12">
        <f t="shared" si="11"/>
        <v>2.4</v>
      </c>
      <c r="B150" s="152">
        <v>0.34691</v>
      </c>
      <c r="C150" s="152">
        <v>1.8745</v>
      </c>
      <c r="D150" s="152">
        <v>2.60882</v>
      </c>
      <c r="E150" s="152">
        <v>2.19535</v>
      </c>
    </row>
    <row r="151" spans="1:10" s="3" customFormat="1" ht="12.75">
      <c r="A151" s="12">
        <f t="shared" si="11"/>
        <v>2.6</v>
      </c>
      <c r="B151" s="152">
        <v>0.03315</v>
      </c>
      <c r="C151" s="152">
        <v>1.75473</v>
      </c>
      <c r="D151" s="152">
        <v>2.9067</v>
      </c>
      <c r="E151" s="152">
        <v>2.72365</v>
      </c>
      <c r="G151" s="100"/>
      <c r="H151" s="100"/>
      <c r="I151" s="100"/>
      <c r="J151" s="100"/>
    </row>
    <row r="152" spans="1:10" s="3" customFormat="1" ht="12.75">
      <c r="A152" s="12">
        <f t="shared" si="11"/>
        <v>2.8000000000000003</v>
      </c>
      <c r="B152" s="152">
        <v>-0.44747</v>
      </c>
      <c r="C152" s="152">
        <v>1.3957600000000001</v>
      </c>
      <c r="D152" s="152">
        <v>3.065705</v>
      </c>
      <c r="E152" s="152">
        <v>3.291015</v>
      </c>
      <c r="G152" s="101"/>
      <c r="H152" s="101"/>
      <c r="I152" s="101"/>
      <c r="J152" s="101"/>
    </row>
    <row r="153" spans="1:10" s="3" customFormat="1" ht="12.75">
      <c r="A153" s="12">
        <f t="shared" si="11"/>
        <v>3.0000000000000004</v>
      </c>
      <c r="B153" s="152">
        <v>-0.92809</v>
      </c>
      <c r="C153" s="152">
        <v>1.03679</v>
      </c>
      <c r="D153" s="152">
        <v>3.22471</v>
      </c>
      <c r="E153" s="152">
        <v>3.85838</v>
      </c>
      <c r="G153" s="101"/>
      <c r="H153" s="101"/>
      <c r="I153" s="101"/>
      <c r="J153" s="101"/>
    </row>
    <row r="154" spans="1:5" s="3" customFormat="1" ht="12.75">
      <c r="A154" s="12">
        <f t="shared" si="11"/>
        <v>3.5</v>
      </c>
      <c r="B154" s="152">
        <v>-0.92809</v>
      </c>
      <c r="C154" s="152">
        <v>1.03679</v>
      </c>
      <c r="D154" s="152">
        <v>3.22471</v>
      </c>
      <c r="E154" s="152">
        <v>3.85838</v>
      </c>
    </row>
    <row r="155" spans="1:5" s="3" customFormat="1" ht="12.75">
      <c r="A155" s="13">
        <f t="shared" si="11"/>
        <v>4</v>
      </c>
      <c r="B155" s="155">
        <v>-0.92809</v>
      </c>
      <c r="C155" s="155">
        <v>1.03679</v>
      </c>
      <c r="D155" s="155">
        <v>3.22471</v>
      </c>
      <c r="E155" s="155">
        <v>3.85838</v>
      </c>
    </row>
    <row r="156" spans="1:5" s="3" customFormat="1" ht="12.75" hidden="1">
      <c r="A156" s="93">
        <f t="shared" si="11"/>
        <v>4.5</v>
      </c>
      <c r="B156" s="94">
        <v>-0.92809</v>
      </c>
      <c r="C156" s="94">
        <v>1.03679</v>
      </c>
      <c r="D156" s="94">
        <v>3.22471</v>
      </c>
      <c r="E156" s="94">
        <v>3.85838</v>
      </c>
    </row>
    <row r="157" spans="1:5" s="3" customFormat="1" ht="12.75" hidden="1">
      <c r="A157" s="12">
        <f t="shared" si="11"/>
        <v>5</v>
      </c>
      <c r="B157" s="91">
        <v>-0.92809</v>
      </c>
      <c r="C157" s="91">
        <v>1.03679</v>
      </c>
      <c r="D157" s="91">
        <v>3.22471</v>
      </c>
      <c r="E157" s="91">
        <v>3.85838</v>
      </c>
    </row>
    <row r="159" spans="1:5" ht="12.75" hidden="1">
      <c r="A159" s="61" t="s">
        <v>24</v>
      </c>
      <c r="B159" s="62">
        <f>m*yo</f>
        <v>3.995976447607633</v>
      </c>
      <c r="C159" s="63">
        <f>m*fo/anpha</f>
        <v>-3.2162313982900446</v>
      </c>
      <c r="D159" s="62">
        <f>m*Mo/anpha^2/EI</f>
        <v>0.829491398340471</v>
      </c>
      <c r="E159" s="61">
        <f>m*Ho/anpha^3/EI</f>
        <v>1.0886167573746521</v>
      </c>
    </row>
    <row r="160" spans="1:11" s="28" customFormat="1" ht="15.75">
      <c r="A160" s="56" t="s">
        <v>65</v>
      </c>
      <c r="B160" s="56" t="s">
        <v>74</v>
      </c>
      <c r="C160" s="57" t="s">
        <v>75</v>
      </c>
      <c r="D160" s="58" t="s">
        <v>76</v>
      </c>
      <c r="E160" s="58" t="s">
        <v>77</v>
      </c>
      <c r="F160" s="57" t="s">
        <v>78</v>
      </c>
      <c r="J160" s="135" t="s">
        <v>230</v>
      </c>
      <c r="K160" s="135"/>
    </row>
    <row r="161" spans="1:19" s="3" customFormat="1" ht="12.75">
      <c r="A161" s="11">
        <f aca="true" t="shared" si="12" ref="A161:A180">A86</f>
        <v>0</v>
      </c>
      <c r="B161" s="2">
        <f>yo*B138</f>
        <v>0.006659960746012722</v>
      </c>
      <c r="C161" s="2">
        <f>fo*C138/anpha</f>
        <v>0</v>
      </c>
      <c r="D161" s="2">
        <f>Mo*D138/anpha^2/EI</f>
        <v>0</v>
      </c>
      <c r="E161" s="2">
        <f>Ho*E138/anpha^3/EI</f>
        <v>0</v>
      </c>
      <c r="F161" s="2">
        <f>(B161+C161+D161+E161)*A161*m</f>
        <v>0</v>
      </c>
      <c r="J161" s="9">
        <f aca="true" t="shared" si="13" ref="J161:J170">A161*(-1)</f>
        <v>0</v>
      </c>
      <c r="K161" s="14">
        <f aca="true" t="shared" si="14" ref="K161:K170">F161</f>
        <v>0</v>
      </c>
      <c r="L161" s="9"/>
      <c r="M161" s="9"/>
      <c r="N161" s="9"/>
      <c r="O161" s="9"/>
      <c r="P161" s="9"/>
      <c r="Q161" s="9"/>
      <c r="R161" s="9"/>
      <c r="S161" s="9"/>
    </row>
    <row r="162" spans="1:19" s="3" customFormat="1" ht="12.75">
      <c r="A162" s="12">
        <f t="shared" si="12"/>
        <v>0.2</v>
      </c>
      <c r="B162" s="5">
        <f>yo*B139</f>
        <v>0.006659960746012722</v>
      </c>
      <c r="C162" s="5">
        <f>fo*C139/anpha</f>
        <v>-0.0010720771327633483</v>
      </c>
      <c r="D162" s="5">
        <f>Mo*D139/anpha^2/EI</f>
        <v>2.7649713278015705E-05</v>
      </c>
      <c r="E162" s="5">
        <f>Ho*E139/anpha^3/EI</f>
        <v>2.4131004788471452E-06</v>
      </c>
      <c r="F162" s="5">
        <f>(B162+C162+D162+E162)*A162*m</f>
        <v>0.6741535712407484</v>
      </c>
      <c r="J162" s="9">
        <f t="shared" si="13"/>
        <v>-0.2</v>
      </c>
      <c r="K162" s="14">
        <f t="shared" si="14"/>
        <v>0.6741535712407484</v>
      </c>
      <c r="L162" s="14"/>
      <c r="M162" s="14"/>
      <c r="N162" s="14"/>
      <c r="O162" s="14"/>
      <c r="P162" s="14"/>
      <c r="Q162" s="14"/>
      <c r="R162" s="14"/>
      <c r="S162" s="14"/>
    </row>
    <row r="163" spans="1:11" s="3" customFormat="1" ht="12.75">
      <c r="A163" s="12">
        <f t="shared" si="12"/>
        <v>0.4</v>
      </c>
      <c r="B163" s="5">
        <f>yo*B140</f>
        <v>0.00665936134954558</v>
      </c>
      <c r="C163" s="5">
        <f>fo*C140/anpha</f>
        <v>-0.0021441006616700585</v>
      </c>
      <c r="D163" s="5">
        <f>Mo*D140/anpha^2/EI</f>
        <v>0.00011059885311206282</v>
      </c>
      <c r="E163" s="5">
        <f>Ho*E140/anpha^3/EI</f>
        <v>1.9359234668645897E-05</v>
      </c>
      <c r="F163" s="5">
        <f>(B163+C163+D163+E163)*A163*m</f>
        <v>1.1148525061574952</v>
      </c>
      <c r="J163" s="9">
        <f t="shared" si="13"/>
        <v>-0.4</v>
      </c>
      <c r="K163" s="14">
        <f t="shared" si="14"/>
        <v>1.1148525061574952</v>
      </c>
    </row>
    <row r="164" spans="1:11" s="3" customFormat="1" ht="12.75">
      <c r="A164" s="12">
        <f t="shared" si="12"/>
        <v>0.6000000000000001</v>
      </c>
      <c r="B164" s="5">
        <f aca="true" t="shared" si="15" ref="B164:B180">yo*B141</f>
        <v>0.006655631771527813</v>
      </c>
      <c r="C164" s="5">
        <f aca="true" t="shared" si="16" ref="C164:C180">fo*C141/anpha</f>
        <v>-0.0032155345481537484</v>
      </c>
      <c r="D164" s="5">
        <f aca="true" t="shared" si="17" ref="D164:D180">Mo*D141/anpha^2/EI</f>
        <v>0.0002488197697888633</v>
      </c>
      <c r="E164" s="5">
        <f aca="true" t="shared" si="18" ref="E164:E180">Ho*E141/anpha^3/EI</f>
        <v>6.531700544247912E-05</v>
      </c>
      <c r="F164" s="5">
        <f aca="true" t="shared" si="19" ref="F164:F173">(B164+C164+D164+E164)*A164*m</f>
        <v>1.3515242394979468</v>
      </c>
      <c r="J164" s="9">
        <f t="shared" si="13"/>
        <v>-0.6000000000000001</v>
      </c>
      <c r="K164" s="14">
        <f t="shared" si="14"/>
        <v>1.3515242394979468</v>
      </c>
    </row>
    <row r="165" spans="1:11" s="3" customFormat="1" ht="12.75">
      <c r="A165" s="12">
        <f t="shared" si="12"/>
        <v>0.8</v>
      </c>
      <c r="B165" s="5">
        <f t="shared" si="15"/>
        <v>0.006641779053176107</v>
      </c>
      <c r="C165" s="5">
        <f t="shared" si="16"/>
        <v>-0.004284395449518807</v>
      </c>
      <c r="D165" s="5">
        <f t="shared" si="17"/>
        <v>0.0004422295141685832</v>
      </c>
      <c r="E165" s="5">
        <f t="shared" si="18"/>
        <v>0.00015480130289867553</v>
      </c>
      <c r="F165" s="5">
        <f t="shared" si="19"/>
        <v>1.4181189219477883</v>
      </c>
      <c r="J165" s="9">
        <f t="shared" si="13"/>
        <v>-0.8</v>
      </c>
      <c r="K165" s="14">
        <f t="shared" si="14"/>
        <v>1.4181189219477883</v>
      </c>
    </row>
    <row r="166" spans="1:11" s="3" customFormat="1" ht="12.75">
      <c r="A166" s="12">
        <f t="shared" si="12"/>
        <v>1</v>
      </c>
      <c r="B166" s="5">
        <f t="shared" si="15"/>
        <v>0.006604483272998436</v>
      </c>
      <c r="C166" s="5">
        <f t="shared" si="16"/>
        <v>-0.005345483791671331</v>
      </c>
      <c r="D166" s="5">
        <f t="shared" si="17"/>
        <v>0.0006904271654086912</v>
      </c>
      <c r="E166" s="5">
        <f t="shared" si="18"/>
        <v>0.0003022181554598263</v>
      </c>
      <c r="F166" s="5">
        <f t="shared" si="19"/>
        <v>1.3509868813173735</v>
      </c>
      <c r="J166" s="9">
        <f t="shared" si="13"/>
        <v>-1</v>
      </c>
      <c r="K166" s="14">
        <f t="shared" si="14"/>
        <v>1.3509868813173735</v>
      </c>
    </row>
    <row r="167" spans="1:11" s="3" customFormat="1" ht="12.75">
      <c r="A167" s="12">
        <f t="shared" si="12"/>
        <v>1.2</v>
      </c>
      <c r="B167" s="5">
        <f t="shared" si="15"/>
        <v>0.006521899759747878</v>
      </c>
      <c r="C167" s="5">
        <f t="shared" si="16"/>
        <v>-0.006388025199427048</v>
      </c>
      <c r="D167" s="5">
        <f t="shared" si="17"/>
        <v>0.0009924449835444567</v>
      </c>
      <c r="E167" s="5">
        <f t="shared" si="18"/>
        <v>0.0005217740118096707</v>
      </c>
      <c r="F167" s="5">
        <f t="shared" si="19"/>
        <v>1.186627360085969</v>
      </c>
      <c r="J167" s="9">
        <f t="shared" si="13"/>
        <v>-1.2</v>
      </c>
      <c r="K167" s="14">
        <f t="shared" si="14"/>
        <v>1.186627360085969</v>
      </c>
    </row>
    <row r="168" spans="1:11" s="3" customFormat="1" ht="12.75">
      <c r="A168" s="12">
        <f t="shared" si="12"/>
        <v>1.4</v>
      </c>
      <c r="B168" s="5">
        <f t="shared" si="15"/>
        <v>0.006361794303413732</v>
      </c>
      <c r="C168" s="5">
        <f t="shared" si="16"/>
        <v>-0.0073925078689696675</v>
      </c>
      <c r="D168" s="5">
        <f t="shared" si="17"/>
        <v>0.0013461677655101116</v>
      </c>
      <c r="E168" s="5">
        <f t="shared" si="18"/>
        <v>0.0008271310122532607</v>
      </c>
      <c r="F168" s="5">
        <f t="shared" si="19"/>
        <v>0.959771578254247</v>
      </c>
      <c r="J168" s="9">
        <f t="shared" si="13"/>
        <v>-1.4</v>
      </c>
      <c r="K168" s="14">
        <f t="shared" si="14"/>
        <v>0.959771578254247</v>
      </c>
    </row>
    <row r="169" spans="1:11" s="3" customFormat="1" ht="12.75">
      <c r="A169" s="12">
        <f t="shared" si="12"/>
        <v>1.5999999999999999</v>
      </c>
      <c r="B169" s="5">
        <f t="shared" si="15"/>
        <v>0.006079212168960412</v>
      </c>
      <c r="C169" s="5">
        <f t="shared" si="16"/>
        <v>-0.008327144713312754</v>
      </c>
      <c r="D169" s="5">
        <f t="shared" si="17"/>
        <v>0.0017475033537405094</v>
      </c>
      <c r="E169" s="5">
        <f t="shared" si="18"/>
        <v>0.0012308989675635193</v>
      </c>
      <c r="F169" s="5">
        <f t="shared" si="19"/>
        <v>0.7012509858736191</v>
      </c>
      <c r="J169" s="9">
        <f t="shared" si="13"/>
        <v>-1.5999999999999999</v>
      </c>
      <c r="K169" s="14">
        <f t="shared" si="14"/>
        <v>0.7012509858736191</v>
      </c>
    </row>
    <row r="170" spans="1:11" s="3" customFormat="1" ht="12.75">
      <c r="A170" s="12">
        <f t="shared" si="12"/>
        <v>1.7999999999999998</v>
      </c>
      <c r="B170" s="5">
        <f t="shared" si="15"/>
        <v>0.005615212703785706</v>
      </c>
      <c r="C170" s="5">
        <f t="shared" si="16"/>
        <v>-0.009143477846055405</v>
      </c>
      <c r="D170" s="5">
        <f t="shared" si="17"/>
        <v>0.0021893319470665615</v>
      </c>
      <c r="E170" s="5">
        <f t="shared" si="18"/>
        <v>0.0017437644655753407</v>
      </c>
      <c r="F170" s="5">
        <f t="shared" si="19"/>
        <v>0.43721777200197987</v>
      </c>
      <c r="J170" s="9">
        <f t="shared" si="13"/>
        <v>-1.7999999999999998</v>
      </c>
      <c r="K170" s="14">
        <f t="shared" si="14"/>
        <v>0.43721777200197987</v>
      </c>
    </row>
    <row r="171" spans="1:11" s="3" customFormat="1" ht="12.75">
      <c r="A171" s="12">
        <f t="shared" si="12"/>
        <v>1.9999999999999998</v>
      </c>
      <c r="B171" s="5">
        <f t="shared" si="15"/>
        <v>0.004895204347534271</v>
      </c>
      <c r="C171" s="5">
        <f t="shared" si="16"/>
        <v>-0.00977166144199809</v>
      </c>
      <c r="D171" s="5">
        <f t="shared" si="17"/>
        <v>0.002659930067058389</v>
      </c>
      <c r="E171" s="5">
        <f t="shared" si="18"/>
        <v>0.0023732026746893643</v>
      </c>
      <c r="F171" s="5">
        <f t="shared" si="19"/>
        <v>0.18801077674072042</v>
      </c>
      <c r="J171" s="9">
        <f aca="true" t="shared" si="20" ref="J171:J177">A171*(-1)</f>
        <v>-1.9999999999999998</v>
      </c>
      <c r="K171" s="14">
        <f aca="true" t="shared" si="21" ref="K171:K177">F171</f>
        <v>0.18801077674072042</v>
      </c>
    </row>
    <row r="172" spans="1:11" s="3" customFormat="1" ht="12.75">
      <c r="A172" s="12">
        <f t="shared" si="12"/>
        <v>2.1999999999999997</v>
      </c>
      <c r="B172" s="5">
        <f t="shared" si="15"/>
        <v>0.003828878032490174</v>
      </c>
      <c r="C172" s="5">
        <f t="shared" si="16"/>
        <v>-0.010115530182331934</v>
      </c>
      <c r="D172" s="5">
        <f t="shared" si="17"/>
        <v>0.003141242450945447</v>
      </c>
      <c r="E172" s="5">
        <f t="shared" si="18"/>
        <v>0.0031214634028708314</v>
      </c>
      <c r="F172" s="5">
        <f t="shared" si="19"/>
        <v>-0.03160911075363433</v>
      </c>
      <c r="J172" s="9">
        <f t="shared" si="20"/>
        <v>-2.1999999999999997</v>
      </c>
      <c r="K172" s="14">
        <f t="shared" si="21"/>
        <v>-0.03160911075363433</v>
      </c>
    </row>
    <row r="173" spans="1:11" s="3" customFormat="1" ht="12.75">
      <c r="A173" s="12">
        <f t="shared" si="12"/>
        <v>2.4</v>
      </c>
      <c r="B173" s="5">
        <f t="shared" si="15"/>
        <v>0.002310406982399273</v>
      </c>
      <c r="C173" s="5">
        <f t="shared" si="16"/>
        <v>-0.010048042926824482</v>
      </c>
      <c r="D173" s="5">
        <f t="shared" si="17"/>
        <v>0.0036066562496976464</v>
      </c>
      <c r="E173" s="5">
        <f t="shared" si="18"/>
        <v>0.003983157997170738</v>
      </c>
      <c r="F173" s="5">
        <f t="shared" si="19"/>
        <v>-0.2128632444818268</v>
      </c>
      <c r="J173" s="9">
        <f t="shared" si="20"/>
        <v>-2.4</v>
      </c>
      <c r="K173" s="14">
        <f t="shared" si="21"/>
        <v>-0.2128632444818268</v>
      </c>
    </row>
    <row r="174" spans="1:11" s="3" customFormat="1" ht="12.75">
      <c r="A174" s="12">
        <f t="shared" si="12"/>
        <v>2.6</v>
      </c>
      <c r="B174" s="5">
        <f t="shared" si="15"/>
        <v>0.00022077769873032172</v>
      </c>
      <c r="C174" s="5">
        <f t="shared" si="16"/>
        <v>-0.00940602953586915</v>
      </c>
      <c r="D174" s="5">
        <f t="shared" si="17"/>
        <v>0.004018471079260412</v>
      </c>
      <c r="E174" s="5">
        <f t="shared" si="18"/>
        <v>0.004941685052039119</v>
      </c>
      <c r="F174" s="5">
        <f aca="true" t="shared" si="22" ref="F174:F180">(B174+C174+D174+E174)*A174*m</f>
        <v>-0.35114930110930265</v>
      </c>
      <c r="J174" s="9">
        <f t="shared" si="20"/>
        <v>-2.6</v>
      </c>
      <c r="K174" s="14">
        <f t="shared" si="21"/>
        <v>-0.35114930110930265</v>
      </c>
    </row>
    <row r="175" spans="1:11" s="3" customFormat="1" ht="12.75">
      <c r="A175" s="12">
        <f t="shared" si="12"/>
        <v>2.8000000000000003</v>
      </c>
      <c r="B175" s="5">
        <f>yo*B152</f>
        <v>-0.0029801326350183126</v>
      </c>
      <c r="C175" s="5">
        <f t="shared" si="16"/>
        <v>-0.007481811894128855</v>
      </c>
      <c r="D175" s="5">
        <f>Mo*D152/anpha^2/EI</f>
        <v>0.004238293212248956</v>
      </c>
      <c r="E175" s="5">
        <f>Ho*E152/anpha^3/EI</f>
        <v>0.005971090129618901</v>
      </c>
      <c r="F175" s="5">
        <f t="shared" si="22"/>
        <v>-0.4243027946292427</v>
      </c>
      <c r="G175" s="14"/>
      <c r="J175" s="9">
        <f t="shared" si="20"/>
        <v>-2.8000000000000003</v>
      </c>
      <c r="K175" s="14">
        <f t="shared" si="21"/>
        <v>-0.4243027946292427</v>
      </c>
    </row>
    <row r="176" spans="1:11" s="3" customFormat="1" ht="12.75">
      <c r="A176" s="12">
        <f t="shared" si="12"/>
        <v>3.0000000000000004</v>
      </c>
      <c r="B176" s="5">
        <f t="shared" si="15"/>
        <v>-0.006181042968766946</v>
      </c>
      <c r="C176" s="5">
        <f t="shared" si="16"/>
        <v>-0.00555759425238856</v>
      </c>
      <c r="D176" s="5">
        <f t="shared" si="17"/>
        <v>0.004458115345237501</v>
      </c>
      <c r="E176" s="5">
        <f t="shared" si="18"/>
        <v>0.007000495207198684</v>
      </c>
      <c r="F176" s="5">
        <f t="shared" si="22"/>
        <v>-0.5040480036947784</v>
      </c>
      <c r="J176" s="9">
        <f t="shared" si="20"/>
        <v>-3.0000000000000004</v>
      </c>
      <c r="K176" s="14">
        <f t="shared" si="21"/>
        <v>-0.5040480036947784</v>
      </c>
    </row>
    <row r="177" spans="1:11" s="3" customFormat="1" ht="12.75">
      <c r="A177" s="12">
        <f t="shared" si="12"/>
        <v>3.5</v>
      </c>
      <c r="B177" s="5">
        <f t="shared" si="15"/>
        <v>-0.006181042968766946</v>
      </c>
      <c r="C177" s="5">
        <f t="shared" si="16"/>
        <v>-0.00555759425238856</v>
      </c>
      <c r="D177" s="5">
        <f t="shared" si="17"/>
        <v>0.004458115345237501</v>
      </c>
      <c r="E177" s="5">
        <f t="shared" si="18"/>
        <v>0.007000495207198684</v>
      </c>
      <c r="F177" s="5">
        <f t="shared" si="22"/>
        <v>-0.5880560043105747</v>
      </c>
      <c r="J177" s="9">
        <f t="shared" si="20"/>
        <v>-3.5</v>
      </c>
      <c r="K177" s="14">
        <f t="shared" si="21"/>
        <v>-0.5880560043105747</v>
      </c>
    </row>
    <row r="178" spans="1:11" s="3" customFormat="1" ht="12.75">
      <c r="A178" s="13">
        <f t="shared" si="12"/>
        <v>4</v>
      </c>
      <c r="B178" s="7">
        <f t="shared" si="15"/>
        <v>-0.006181042968766946</v>
      </c>
      <c r="C178" s="7">
        <f t="shared" si="16"/>
        <v>-0.00555759425238856</v>
      </c>
      <c r="D178" s="7">
        <f t="shared" si="17"/>
        <v>0.004458115345237501</v>
      </c>
      <c r="E178" s="7">
        <f t="shared" si="18"/>
        <v>0.007000495207198684</v>
      </c>
      <c r="F178" s="7">
        <f t="shared" si="22"/>
        <v>-0.6720640049263711</v>
      </c>
      <c r="J178" s="9">
        <f>A178*(-1)</f>
        <v>-4</v>
      </c>
      <c r="K178" s="14">
        <f>F178</f>
        <v>-0.6720640049263711</v>
      </c>
    </row>
    <row r="179" spans="1:11" s="3" customFormat="1" ht="12.75" hidden="1">
      <c r="A179" s="102">
        <f t="shared" si="12"/>
        <v>4.5</v>
      </c>
      <c r="B179" s="103">
        <f t="shared" si="15"/>
        <v>-0.006181042968766946</v>
      </c>
      <c r="C179" s="103">
        <f t="shared" si="16"/>
        <v>-0.00555759425238856</v>
      </c>
      <c r="D179" s="103">
        <f t="shared" si="17"/>
        <v>0.004458115345237501</v>
      </c>
      <c r="E179" s="103">
        <f t="shared" si="18"/>
        <v>0.007000495207198684</v>
      </c>
      <c r="F179" s="103">
        <f t="shared" si="22"/>
        <v>-0.7560720055421675</v>
      </c>
      <c r="J179" s="9"/>
      <c r="K179" s="14"/>
    </row>
    <row r="180" spans="1:11" s="3" customFormat="1" ht="12.75" hidden="1">
      <c r="A180" s="13">
        <f t="shared" si="12"/>
        <v>5</v>
      </c>
      <c r="B180" s="7">
        <f t="shared" si="15"/>
        <v>-0.006181042968766946</v>
      </c>
      <c r="C180" s="7">
        <f t="shared" si="16"/>
        <v>-0.00555759425238856</v>
      </c>
      <c r="D180" s="7">
        <f t="shared" si="17"/>
        <v>0.004458115345237501</v>
      </c>
      <c r="E180" s="7">
        <f t="shared" si="18"/>
        <v>0.007000495207198684</v>
      </c>
      <c r="F180" s="7">
        <f t="shared" si="22"/>
        <v>-0.8400800061579639</v>
      </c>
      <c r="J180" s="9"/>
      <c r="K180" s="14"/>
    </row>
    <row r="182" ht="12.75">
      <c r="A182" s="23" t="s">
        <v>28</v>
      </c>
    </row>
    <row r="185" spans="9:10" ht="12.75">
      <c r="I185" s="64"/>
      <c r="J185" s="65"/>
    </row>
    <row r="186" spans="9:10" ht="12.75">
      <c r="I186" s="64"/>
      <c r="J186" s="65"/>
    </row>
    <row r="187" spans="9:10" ht="12.75">
      <c r="I187" s="64"/>
      <c r="J187" s="65"/>
    </row>
    <row r="188" spans="9:10" ht="12.75">
      <c r="I188" s="64"/>
      <c r="J188" s="65"/>
    </row>
  </sheetData>
  <mergeCells count="1">
    <mergeCell ref="E2:F2"/>
  </mergeCells>
  <printOptions/>
  <pageMargins left="1.1" right="0.55" top="0.75" bottom="0.75" header="0.5" footer="0.35"/>
  <pageSetup horizontalDpi="300" verticalDpi="300" orientation="portrait" paperSize="9" r:id="rId12"/>
  <headerFooter alignWithMargins="0">
    <oddHeader>&amp;R&amp;".VnArial,Italic"&amp;U                                                                                                                     TÝnh to¸n cäc chÞu lùc ngang</oddHeader>
    <oddFooter>&amp;R&amp;P</oddFooter>
  </headerFooter>
  <drawing r:id="rId11"/>
  <legacyDrawing r:id="rId10"/>
  <oleObjects>
    <oleObject progId="Equation.3" shapeId="688877" r:id="rId2"/>
    <oleObject progId="Equation.3" shapeId="722758" r:id="rId3"/>
    <oleObject progId="Equation.3" shapeId="796000" r:id="rId4"/>
    <oleObject progId="Equation.3" shapeId="801542" r:id="rId5"/>
    <oleObject progId="Equation.3" shapeId="811908" r:id="rId6"/>
    <oleObject progId="Equation.3" shapeId="1054532" r:id="rId7"/>
    <oleObject progId="Equation.3" shapeId="1199183" r:id="rId8"/>
    <oleObject progId="AutoCAD.Drawing.14" shapeId="413370" r:id="rId9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35">
      <selection activeCell="F51" sqref="F51"/>
    </sheetView>
  </sheetViews>
  <sheetFormatPr defaultColWidth="9.00390625" defaultRowHeight="12.75"/>
  <cols>
    <col min="2" max="2" width="10.00390625" style="0" customWidth="1"/>
    <col min="6" max="6" width="10.625" style="0" bestFit="1" customWidth="1"/>
  </cols>
  <sheetData>
    <row r="1" spans="1:9" ht="18">
      <c r="A1" s="136" t="s">
        <v>229</v>
      </c>
      <c r="B1" s="137"/>
      <c r="C1" s="137"/>
      <c r="D1" s="137"/>
      <c r="E1" s="137"/>
      <c r="F1" s="137"/>
      <c r="G1" s="137"/>
      <c r="H1" s="137"/>
      <c r="I1" s="137"/>
    </row>
    <row r="2" spans="1:9" ht="18">
      <c r="A2" s="136" t="s">
        <v>248</v>
      </c>
      <c r="B2" s="137"/>
      <c r="C2" s="137"/>
      <c r="D2" s="137"/>
      <c r="E2" s="137"/>
      <c r="F2" s="137"/>
      <c r="G2" s="137"/>
      <c r="H2" s="137"/>
      <c r="I2" s="137"/>
    </row>
    <row r="3" s="85" customFormat="1" ht="17.25" customHeight="1">
      <c r="A3" s="86" t="s">
        <v>218</v>
      </c>
    </row>
    <row r="4" ht="12.75">
      <c r="A4" s="30" t="s">
        <v>172</v>
      </c>
    </row>
    <row r="5" ht="12.75">
      <c r="A5" t="s">
        <v>171</v>
      </c>
    </row>
    <row r="6" ht="12.75">
      <c r="A6" t="s">
        <v>163</v>
      </c>
    </row>
    <row r="7" ht="12.75">
      <c r="B7" t="s">
        <v>160</v>
      </c>
    </row>
    <row r="8" ht="12.75">
      <c r="A8" t="s">
        <v>84</v>
      </c>
    </row>
    <row r="9" ht="12.75">
      <c r="A9" t="s">
        <v>161</v>
      </c>
    </row>
    <row r="10" ht="12.75">
      <c r="A10" s="81" t="s">
        <v>162</v>
      </c>
    </row>
    <row r="11" ht="12.75">
      <c r="A11" s="158" t="s">
        <v>90</v>
      </c>
    </row>
    <row r="12" spans="2:4" ht="25.5">
      <c r="B12" s="99" t="s">
        <v>216</v>
      </c>
      <c r="C12" s="105" t="s">
        <v>204</v>
      </c>
      <c r="D12" s="99" t="s">
        <v>215</v>
      </c>
    </row>
    <row r="13" spans="2:4" ht="12.75">
      <c r="B13" s="156">
        <v>0.15</v>
      </c>
      <c r="C13" s="156">
        <v>0.55</v>
      </c>
      <c r="D13" s="107">
        <f>C13*B13</f>
        <v>0.0825</v>
      </c>
    </row>
    <row r="14" ht="12.75">
      <c r="A14" s="81"/>
    </row>
    <row r="15" ht="12.75">
      <c r="A15" s="30" t="s">
        <v>164</v>
      </c>
    </row>
    <row r="16" ht="12.75">
      <c r="A16" t="s">
        <v>165</v>
      </c>
    </row>
    <row r="17" ht="12.75">
      <c r="B17" t="s">
        <v>166</v>
      </c>
    </row>
    <row r="18" spans="1:2" ht="12.75">
      <c r="A18" t="s">
        <v>167</v>
      </c>
      <c r="B18" t="s">
        <v>168</v>
      </c>
    </row>
    <row r="19" ht="12.75">
      <c r="A19" t="s">
        <v>84</v>
      </c>
    </row>
    <row r="20" ht="12.75">
      <c r="A20" t="s">
        <v>169</v>
      </c>
    </row>
    <row r="21" ht="12.75">
      <c r="A21" t="s">
        <v>170</v>
      </c>
    </row>
    <row r="22" ht="12.75">
      <c r="A22" s="158" t="s">
        <v>90</v>
      </c>
    </row>
    <row r="23" spans="1:5" ht="25.5">
      <c r="A23" s="3"/>
      <c r="B23" s="99" t="s">
        <v>210</v>
      </c>
      <c r="C23" s="99" t="s">
        <v>209</v>
      </c>
      <c r="D23" s="99" t="s">
        <v>207</v>
      </c>
      <c r="E23" s="99" t="s">
        <v>208</v>
      </c>
    </row>
    <row r="24" spans="2:5" ht="12.75">
      <c r="B24" s="157">
        <v>1</v>
      </c>
      <c r="C24" s="156">
        <v>40</v>
      </c>
      <c r="D24" s="108">
        <f>IF(6*(1+0.2*C24/B24)/3&gt;9,9,6*(1+0.2*C24/B24)/3)</f>
        <v>9</v>
      </c>
      <c r="E24" s="108">
        <f>IF(D24*B13&gt;4,4,D24*B13)</f>
        <v>1.3499999999999999</v>
      </c>
    </row>
    <row r="25" spans="1:5" ht="12.75">
      <c r="A25" s="30"/>
      <c r="B25" s="3"/>
      <c r="E25" s="3"/>
    </row>
    <row r="26" spans="1:5" ht="12.75">
      <c r="A26" s="30" t="s">
        <v>211</v>
      </c>
      <c r="B26" s="3"/>
      <c r="E26" s="3"/>
    </row>
    <row r="27" ht="12.75">
      <c r="A27" t="s">
        <v>144</v>
      </c>
    </row>
    <row r="28" ht="14.25">
      <c r="A28" t="s">
        <v>145</v>
      </c>
    </row>
    <row r="29" ht="14.25">
      <c r="B29" t="s">
        <v>146</v>
      </c>
    </row>
    <row r="30" spans="1:2" ht="14.25">
      <c r="A30" t="s">
        <v>147</v>
      </c>
      <c r="B30" t="s">
        <v>148</v>
      </c>
    </row>
    <row r="32" spans="1:2" ht="14.25">
      <c r="A32" t="s">
        <v>157</v>
      </c>
      <c r="B32" t="s">
        <v>158</v>
      </c>
    </row>
    <row r="33" ht="14.25">
      <c r="B33" t="s">
        <v>159</v>
      </c>
    </row>
    <row r="34" ht="12.75">
      <c r="A34" t="s">
        <v>84</v>
      </c>
    </row>
    <row r="35" ht="14.25">
      <c r="A35" s="81" t="s">
        <v>149</v>
      </c>
    </row>
    <row r="36" ht="14.25">
      <c r="A36" t="s">
        <v>150</v>
      </c>
    </row>
    <row r="37" ht="14.25">
      <c r="A37" t="s">
        <v>151</v>
      </c>
    </row>
    <row r="38" ht="14.25">
      <c r="A38" t="s">
        <v>152</v>
      </c>
    </row>
    <row r="39" ht="14.25">
      <c r="A39" t="s">
        <v>153</v>
      </c>
    </row>
    <row r="40" ht="14.25">
      <c r="A40" s="81" t="s">
        <v>200</v>
      </c>
    </row>
    <row r="41" ht="12.75">
      <c r="A41" s="3" t="s">
        <v>155</v>
      </c>
    </row>
    <row r="42" ht="14.25">
      <c r="A42" s="81" t="s">
        <v>156</v>
      </c>
    </row>
    <row r="43" ht="12.75">
      <c r="A43" s="3" t="s">
        <v>155</v>
      </c>
    </row>
    <row r="44" spans="1:6" ht="15.75">
      <c r="A44" s="115" t="s">
        <v>221</v>
      </c>
      <c r="E44" s="19">
        <f>B24^2*PI()/4</f>
        <v>0.7853981633974483</v>
      </c>
      <c r="F44" s="3" t="s">
        <v>212</v>
      </c>
    </row>
    <row r="45" spans="1:6" ht="15.75">
      <c r="A45" s="115" t="s">
        <v>222</v>
      </c>
      <c r="E45" s="19">
        <f>PI()*B24*(C24-1.5-B24)</f>
        <v>117.80972450961724</v>
      </c>
      <c r="F45" s="3" t="s">
        <v>212</v>
      </c>
    </row>
    <row r="46" ht="12.75">
      <c r="A46" s="158" t="s">
        <v>90</v>
      </c>
    </row>
    <row r="47" spans="1:4" ht="12.75">
      <c r="A47" s="16"/>
      <c r="B47" s="74" t="s">
        <v>92</v>
      </c>
      <c r="C47" s="74" t="s">
        <v>93</v>
      </c>
      <c r="D47" s="74" t="s">
        <v>94</v>
      </c>
    </row>
    <row r="48" spans="1:4" ht="14.25">
      <c r="A48" s="3"/>
      <c r="B48" s="75" t="s">
        <v>198</v>
      </c>
      <c r="C48" s="75">
        <f>E24</f>
        <v>1.3499999999999999</v>
      </c>
      <c r="D48" s="75" t="s">
        <v>205</v>
      </c>
    </row>
    <row r="49" spans="1:4" ht="14.25">
      <c r="A49" s="3"/>
      <c r="B49" s="76" t="s">
        <v>104</v>
      </c>
      <c r="C49" s="109">
        <f>D13</f>
        <v>0.0825</v>
      </c>
      <c r="D49" s="76" t="s">
        <v>205</v>
      </c>
    </row>
    <row r="50" spans="1:4" ht="14.25">
      <c r="A50" s="3"/>
      <c r="B50" s="98" t="s">
        <v>199</v>
      </c>
      <c r="C50" s="76">
        <f>0.7*0.8</f>
        <v>0.5599999999999999</v>
      </c>
      <c r="D50" s="76"/>
    </row>
    <row r="51" spans="1:4" ht="14.25">
      <c r="A51" s="3"/>
      <c r="B51" s="98" t="s">
        <v>201</v>
      </c>
      <c r="C51" s="76">
        <f>0.7*0.8</f>
        <v>0.5599999999999999</v>
      </c>
      <c r="D51" s="76"/>
    </row>
    <row r="52" spans="1:4" ht="14.25">
      <c r="A52" s="3"/>
      <c r="B52" s="76" t="s">
        <v>197</v>
      </c>
      <c r="C52" s="109">
        <f>C48*E44*1000</f>
        <v>1060.2875205865553</v>
      </c>
      <c r="D52" s="76" t="s">
        <v>202</v>
      </c>
    </row>
    <row r="53" spans="1:4" ht="14.25">
      <c r="A53" s="3"/>
      <c r="B53" s="77" t="s">
        <v>133</v>
      </c>
      <c r="C53" s="129">
        <f>C49*E45*1000</f>
        <v>9719.302272043424</v>
      </c>
      <c r="D53" s="77" t="s">
        <v>202</v>
      </c>
    </row>
    <row r="54" spans="1:4" ht="14.25">
      <c r="A54" s="3"/>
      <c r="B54" s="113" t="s">
        <v>213</v>
      </c>
      <c r="C54" s="130">
        <f>C52*C50+C51*C53</f>
        <v>6036.5702838727875</v>
      </c>
      <c r="D54" s="113" t="s">
        <v>202</v>
      </c>
    </row>
    <row r="55" spans="1:5" ht="12.75">
      <c r="A55" s="30"/>
      <c r="B55" s="3"/>
      <c r="E55" s="3"/>
    </row>
  </sheetData>
  <printOptions/>
  <pageMargins left="1.1" right="0.55" top="0.75" bottom="0.75" header="0.3" footer="0.3"/>
  <pageSetup horizontalDpi="300" verticalDpi="300" orientation="portrait" paperSize="9" r:id="rId3"/>
  <headerFooter alignWithMargins="0">
    <oddFooter>&amp;LBµi tËp Tin häc øng dông&amp;R&amp;P</oddFooter>
  </headerFooter>
  <legacyDrawing r:id="rId2"/>
  <oleObjects>
    <oleObject progId="AutoCAD.Drawing.14" shapeId="66075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56">
      <selection activeCell="H80" sqref="H80"/>
    </sheetView>
  </sheetViews>
  <sheetFormatPr defaultColWidth="9.00390625" defaultRowHeight="12.75"/>
  <sheetData>
    <row r="1" s="85" customFormat="1" ht="15.75">
      <c r="A1" s="86" t="s">
        <v>219</v>
      </c>
    </row>
    <row r="2" ht="12.75">
      <c r="A2" s="30" t="s">
        <v>172</v>
      </c>
    </row>
    <row r="3" ht="12.75">
      <c r="A3" t="s">
        <v>173</v>
      </c>
    </row>
    <row r="4" ht="14.25">
      <c r="B4" t="s">
        <v>175</v>
      </c>
    </row>
    <row r="5" ht="15">
      <c r="B5" s="81" t="s">
        <v>174</v>
      </c>
    </row>
    <row r="6" ht="12.75">
      <c r="B6" t="s">
        <v>176</v>
      </c>
    </row>
    <row r="7" ht="14.25">
      <c r="B7" s="81" t="s">
        <v>220</v>
      </c>
    </row>
    <row r="8" ht="12.75">
      <c r="A8" s="158" t="s">
        <v>90</v>
      </c>
    </row>
    <row r="9" spans="2:4" ht="33" customHeight="1">
      <c r="B9" s="116" t="s">
        <v>214</v>
      </c>
      <c r="C9" s="117" t="s">
        <v>217</v>
      </c>
      <c r="D9" s="99" t="s">
        <v>215</v>
      </c>
    </row>
    <row r="10" spans="2:4" ht="12.75">
      <c r="B10" s="150">
        <f>IF(1.5-7.7/1000*'Coc khoan nhoi trong dat dinh'!C24^0.5&lt;0.25,0.25,IF(1.5-7.7/1000*'Coc khoan nhoi trong dat dinh'!C24^0.5&gt;1.2,1.2,1.5-7.7/1000*'Coc khoan nhoi trong dat dinh'!C24^0.5))</f>
        <v>1.2</v>
      </c>
      <c r="C10" s="150">
        <f>20/1000</f>
        <v>0.02</v>
      </c>
      <c r="D10" s="78">
        <f>C10*B10</f>
        <v>0.024</v>
      </c>
    </row>
    <row r="12" ht="12.75">
      <c r="A12" t="s">
        <v>177</v>
      </c>
    </row>
    <row r="13" spans="1:2" ht="12.75">
      <c r="A13" t="s">
        <v>157</v>
      </c>
      <c r="B13" t="s">
        <v>178</v>
      </c>
    </row>
    <row r="14" ht="14.25">
      <c r="B14" t="s">
        <v>179</v>
      </c>
    </row>
    <row r="15" spans="1:2" ht="12.75">
      <c r="A15" t="s">
        <v>157</v>
      </c>
      <c r="B15" t="s">
        <v>180</v>
      </c>
    </row>
    <row r="16" ht="14.25">
      <c r="B16" t="s">
        <v>181</v>
      </c>
    </row>
    <row r="17" spans="1:6" ht="12.75">
      <c r="A17" s="158" t="s">
        <v>90</v>
      </c>
      <c r="E17" s="126"/>
      <c r="F17" s="126"/>
    </row>
    <row r="18" spans="1:7" ht="38.25">
      <c r="A18" s="118" t="s">
        <v>223</v>
      </c>
      <c r="B18" s="118" t="s">
        <v>206</v>
      </c>
      <c r="C18" s="118" t="s">
        <v>203</v>
      </c>
      <c r="D18" s="99" t="s">
        <v>215</v>
      </c>
      <c r="E18" s="131"/>
      <c r="F18" s="126"/>
      <c r="G18" s="126"/>
    </row>
    <row r="19" spans="1:7" ht="12.75">
      <c r="A19" s="119"/>
      <c r="B19" s="159">
        <v>0</v>
      </c>
      <c r="C19" s="159">
        <v>5</v>
      </c>
      <c r="D19" s="125">
        <f aca="true" t="shared" si="0" ref="D19:D39">IF(C19&lt;=53,0.0028*C19,0.00021*(C19-53)+0.15)</f>
        <v>0.014</v>
      </c>
      <c r="E19" s="111"/>
      <c r="F19" s="126"/>
      <c r="G19" s="126"/>
    </row>
    <row r="20" spans="1:7" ht="12.75">
      <c r="A20" s="120"/>
      <c r="B20" s="160">
        <f aca="true" t="shared" si="1" ref="B20:B38">+B19+2</f>
        <v>2</v>
      </c>
      <c r="C20" s="160">
        <v>18</v>
      </c>
      <c r="D20" s="110">
        <f t="shared" si="0"/>
        <v>0.0504</v>
      </c>
      <c r="E20" s="111"/>
      <c r="F20" s="126"/>
      <c r="G20" s="126"/>
    </row>
    <row r="21" spans="1:7" ht="12.75">
      <c r="A21" s="120"/>
      <c r="B21" s="160">
        <f t="shared" si="1"/>
        <v>4</v>
      </c>
      <c r="C21" s="160">
        <v>17</v>
      </c>
      <c r="D21" s="110">
        <f t="shared" si="0"/>
        <v>0.047599999999999996</v>
      </c>
      <c r="E21" s="111"/>
      <c r="F21" s="126"/>
      <c r="G21" s="126"/>
    </row>
    <row r="22" spans="1:7" ht="12.75">
      <c r="A22" s="120"/>
      <c r="B22" s="160">
        <f t="shared" si="1"/>
        <v>6</v>
      </c>
      <c r="C22" s="160">
        <v>22</v>
      </c>
      <c r="D22" s="110">
        <f t="shared" si="0"/>
        <v>0.0616</v>
      </c>
      <c r="E22" s="111"/>
      <c r="F22" s="126"/>
      <c r="G22" s="126"/>
    </row>
    <row r="23" spans="1:7" ht="12.75">
      <c r="A23" s="120"/>
      <c r="B23" s="160">
        <f t="shared" si="1"/>
        <v>8</v>
      </c>
      <c r="C23" s="160">
        <v>24</v>
      </c>
      <c r="D23" s="110">
        <f t="shared" si="0"/>
        <v>0.0672</v>
      </c>
      <c r="E23" s="111"/>
      <c r="F23" s="126"/>
      <c r="G23" s="126"/>
    </row>
    <row r="24" spans="1:7" ht="12.75">
      <c r="A24" s="120"/>
      <c r="B24" s="160">
        <f t="shared" si="1"/>
        <v>10</v>
      </c>
      <c r="C24" s="160">
        <v>22</v>
      </c>
      <c r="D24" s="110">
        <f t="shared" si="0"/>
        <v>0.0616</v>
      </c>
      <c r="E24" s="111"/>
      <c r="F24" s="126"/>
      <c r="G24" s="126"/>
    </row>
    <row r="25" spans="1:7" ht="12.75">
      <c r="A25" s="120"/>
      <c r="B25" s="160">
        <f t="shared" si="1"/>
        <v>12</v>
      </c>
      <c r="C25" s="160">
        <v>17</v>
      </c>
      <c r="D25" s="110">
        <f t="shared" si="0"/>
        <v>0.047599999999999996</v>
      </c>
      <c r="E25" s="111"/>
      <c r="F25" s="126"/>
      <c r="G25" s="126"/>
    </row>
    <row r="26" spans="1:7" ht="12.75">
      <c r="A26" s="120"/>
      <c r="B26" s="160">
        <f t="shared" si="1"/>
        <v>14</v>
      </c>
      <c r="C26" s="160">
        <v>19</v>
      </c>
      <c r="D26" s="110">
        <f t="shared" si="0"/>
        <v>0.0532</v>
      </c>
      <c r="E26" s="111"/>
      <c r="F26" s="126"/>
      <c r="G26" s="126"/>
    </row>
    <row r="27" spans="1:7" ht="12.75">
      <c r="A27" s="120"/>
      <c r="B27" s="160">
        <f t="shared" si="1"/>
        <v>16</v>
      </c>
      <c r="C27" s="160">
        <v>18</v>
      </c>
      <c r="D27" s="110">
        <f t="shared" si="0"/>
        <v>0.0504</v>
      </c>
      <c r="E27" s="111"/>
      <c r="F27" s="126"/>
      <c r="G27" s="126"/>
    </row>
    <row r="28" spans="1:7" ht="12.75">
      <c r="A28" s="120"/>
      <c r="B28" s="160">
        <f t="shared" si="1"/>
        <v>18</v>
      </c>
      <c r="C28" s="160">
        <v>21</v>
      </c>
      <c r="D28" s="110">
        <f t="shared" si="0"/>
        <v>0.0588</v>
      </c>
      <c r="E28" s="111"/>
      <c r="F28" s="126"/>
      <c r="G28" s="126"/>
    </row>
    <row r="29" spans="1:7" ht="12.75">
      <c r="A29" s="120"/>
      <c r="B29" s="160">
        <f t="shared" si="1"/>
        <v>20</v>
      </c>
      <c r="C29" s="160">
        <v>22</v>
      </c>
      <c r="D29" s="110">
        <f t="shared" si="0"/>
        <v>0.0616</v>
      </c>
      <c r="E29" s="111"/>
      <c r="F29" s="126"/>
      <c r="G29" s="126"/>
    </row>
    <row r="30" spans="1:7" ht="12.75">
      <c r="A30" s="120"/>
      <c r="B30" s="160">
        <f t="shared" si="1"/>
        <v>22</v>
      </c>
      <c r="C30" s="160">
        <v>21</v>
      </c>
      <c r="D30" s="110">
        <f t="shared" si="0"/>
        <v>0.0588</v>
      </c>
      <c r="E30" s="111"/>
      <c r="F30" s="126"/>
      <c r="G30" s="126"/>
    </row>
    <row r="31" spans="1:7" ht="12.75">
      <c r="A31" s="120"/>
      <c r="B31" s="160">
        <f t="shared" si="1"/>
        <v>24</v>
      </c>
      <c r="C31" s="160">
        <v>23</v>
      </c>
      <c r="D31" s="110">
        <f t="shared" si="0"/>
        <v>0.0644</v>
      </c>
      <c r="E31" s="111"/>
      <c r="F31" s="126"/>
      <c r="G31" s="126"/>
    </row>
    <row r="32" spans="1:7" ht="12.75">
      <c r="A32" s="120"/>
      <c r="B32" s="160">
        <f t="shared" si="1"/>
        <v>26</v>
      </c>
      <c r="C32" s="160">
        <v>25</v>
      </c>
      <c r="D32" s="110">
        <f t="shared" si="0"/>
        <v>0.06999999999999999</v>
      </c>
      <c r="E32" s="111"/>
      <c r="F32" s="126"/>
      <c r="G32" s="126"/>
    </row>
    <row r="33" spans="1:7" ht="12.75">
      <c r="A33" s="120"/>
      <c r="B33" s="160">
        <f t="shared" si="1"/>
        <v>28</v>
      </c>
      <c r="C33" s="160">
        <v>27</v>
      </c>
      <c r="D33" s="110">
        <f t="shared" si="0"/>
        <v>0.0756</v>
      </c>
      <c r="E33" s="111"/>
      <c r="F33" s="126"/>
      <c r="G33" s="126"/>
    </row>
    <row r="34" spans="1:7" ht="12.75">
      <c r="A34" s="120"/>
      <c r="B34" s="160">
        <f t="shared" si="1"/>
        <v>30</v>
      </c>
      <c r="C34" s="160">
        <v>25</v>
      </c>
      <c r="D34" s="110">
        <f t="shared" si="0"/>
        <v>0.06999999999999999</v>
      </c>
      <c r="E34" s="111"/>
      <c r="F34" s="126"/>
      <c r="G34" s="126"/>
    </row>
    <row r="35" spans="1:7" ht="12.75">
      <c r="A35" s="120"/>
      <c r="B35" s="160">
        <f t="shared" si="1"/>
        <v>32</v>
      </c>
      <c r="C35" s="160">
        <v>37</v>
      </c>
      <c r="D35" s="110">
        <f t="shared" si="0"/>
        <v>0.1036</v>
      </c>
      <c r="E35" s="111"/>
      <c r="F35" s="126"/>
      <c r="G35" s="126"/>
    </row>
    <row r="36" spans="1:7" ht="12.75">
      <c r="A36" s="120"/>
      <c r="B36" s="160">
        <f t="shared" si="1"/>
        <v>34</v>
      </c>
      <c r="C36" s="160">
        <v>42</v>
      </c>
      <c r="D36" s="110">
        <f t="shared" si="0"/>
        <v>0.1176</v>
      </c>
      <c r="E36" s="111"/>
      <c r="F36" s="126"/>
      <c r="G36" s="126"/>
    </row>
    <row r="37" spans="1:7" ht="12.75">
      <c r="A37" s="121"/>
      <c r="B37" s="160">
        <f t="shared" si="1"/>
        <v>36</v>
      </c>
      <c r="C37" s="160">
        <v>50</v>
      </c>
      <c r="D37" s="110">
        <f t="shared" si="0"/>
        <v>0.13999999999999999</v>
      </c>
      <c r="E37" s="111"/>
      <c r="F37" s="126"/>
      <c r="G37" s="126"/>
    </row>
    <row r="38" spans="1:7" ht="12.75">
      <c r="A38" s="121"/>
      <c r="B38" s="160">
        <f t="shared" si="1"/>
        <v>38</v>
      </c>
      <c r="C38" s="160">
        <v>48</v>
      </c>
      <c r="D38" s="110">
        <f t="shared" si="0"/>
        <v>0.1344</v>
      </c>
      <c r="E38" s="111"/>
      <c r="F38" s="126"/>
      <c r="G38" s="126"/>
    </row>
    <row r="39" spans="1:7" ht="12.75">
      <c r="A39" s="122"/>
      <c r="B39" s="161">
        <f>B38+2</f>
        <v>40</v>
      </c>
      <c r="C39" s="161">
        <v>51</v>
      </c>
      <c r="D39" s="112">
        <f t="shared" si="0"/>
        <v>0.1428</v>
      </c>
      <c r="E39" s="126"/>
      <c r="F39" s="126"/>
      <c r="G39" s="126"/>
    </row>
    <row r="40" spans="1:7" ht="12.75">
      <c r="A40" s="127"/>
      <c r="B40" s="106"/>
      <c r="C40" s="106"/>
      <c r="D40" s="111"/>
      <c r="E40" s="126"/>
      <c r="F40" s="128"/>
      <c r="G40" s="126"/>
    </row>
    <row r="41" spans="1:7" ht="12.75">
      <c r="A41" s="30" t="s">
        <v>164</v>
      </c>
      <c r="E41" s="126"/>
      <c r="F41" s="128"/>
      <c r="G41" s="126"/>
    </row>
    <row r="42" spans="1:7" ht="12.75">
      <c r="A42" t="s">
        <v>173</v>
      </c>
      <c r="E42" s="126"/>
      <c r="F42" s="128"/>
      <c r="G42" s="126"/>
    </row>
    <row r="43" spans="2:7" ht="14.25">
      <c r="B43" s="84" t="s">
        <v>224</v>
      </c>
      <c r="C43" t="s">
        <v>182</v>
      </c>
      <c r="E43" s="126"/>
      <c r="F43" s="128"/>
      <c r="G43" s="126"/>
    </row>
    <row r="44" spans="2:7" ht="14.25">
      <c r="B44" s="84" t="s">
        <v>225</v>
      </c>
      <c r="C44" t="s">
        <v>183</v>
      </c>
      <c r="E44" s="126"/>
      <c r="F44" s="128"/>
      <c r="G44" s="126"/>
    </row>
    <row r="45" spans="2:7" ht="14.25">
      <c r="B45" s="131" t="s">
        <v>226</v>
      </c>
      <c r="C45" s="134">
        <f>IF(C39&lt;=75,0.057*C39,4.3)</f>
        <v>2.907</v>
      </c>
      <c r="D45" s="132" t="s">
        <v>96</v>
      </c>
      <c r="E45" s="126"/>
      <c r="F45" s="128"/>
      <c r="G45" s="126"/>
    </row>
    <row r="46" spans="1:7" ht="12.75">
      <c r="A46" t="s">
        <v>177</v>
      </c>
      <c r="D46" s="114"/>
      <c r="E46" s="126"/>
      <c r="F46" s="128"/>
      <c r="G46" s="126"/>
    </row>
    <row r="47" spans="2:7" ht="14.25">
      <c r="B47" s="84" t="s">
        <v>227</v>
      </c>
      <c r="C47" t="s">
        <v>184</v>
      </c>
      <c r="D47" s="114"/>
      <c r="E47" s="126"/>
      <c r="F47" s="128"/>
      <c r="G47" s="126"/>
    </row>
    <row r="48" spans="2:4" ht="14.25">
      <c r="B48" s="84" t="s">
        <v>228</v>
      </c>
      <c r="C48" t="s">
        <v>185</v>
      </c>
      <c r="D48" s="114"/>
    </row>
    <row r="49" spans="2:7" ht="14.25">
      <c r="B49" s="131" t="s">
        <v>226</v>
      </c>
      <c r="C49" s="134">
        <f>IF(C39&lt;=60,0.064*C39,3.8)</f>
        <v>3.2640000000000002</v>
      </c>
      <c r="D49" s="132" t="s">
        <v>96</v>
      </c>
      <c r="E49" s="131"/>
      <c r="F49" s="128"/>
      <c r="G49" s="106"/>
    </row>
    <row r="50" spans="1:7" ht="12.75">
      <c r="A50" s="131"/>
      <c r="B50" s="124"/>
      <c r="C50" s="106"/>
      <c r="D50" s="133"/>
      <c r="E50" s="126"/>
      <c r="F50" s="128"/>
      <c r="G50" s="126"/>
    </row>
    <row r="51" spans="1:5" ht="12.75">
      <c r="A51" s="30" t="s">
        <v>211</v>
      </c>
      <c r="B51" s="3"/>
      <c r="E51" s="3"/>
    </row>
    <row r="52" ht="12.75">
      <c r="A52" t="s">
        <v>144</v>
      </c>
    </row>
    <row r="53" ht="14.25">
      <c r="A53" t="s">
        <v>145</v>
      </c>
    </row>
    <row r="54" ht="14.25">
      <c r="B54" t="s">
        <v>146</v>
      </c>
    </row>
    <row r="55" spans="1:2" ht="14.25">
      <c r="A55" t="s">
        <v>147</v>
      </c>
      <c r="B55" t="s">
        <v>148</v>
      </c>
    </row>
    <row r="57" spans="1:2" ht="14.25">
      <c r="A57" t="s">
        <v>157</v>
      </c>
      <c r="B57" t="s">
        <v>158</v>
      </c>
    </row>
    <row r="58" ht="14.25">
      <c r="B58" t="s">
        <v>159</v>
      </c>
    </row>
    <row r="59" ht="12.75">
      <c r="A59" t="s">
        <v>84</v>
      </c>
    </row>
    <row r="60" ht="14.25">
      <c r="A60" s="81" t="s">
        <v>149</v>
      </c>
    </row>
    <row r="61" ht="14.25">
      <c r="A61" t="s">
        <v>150</v>
      </c>
    </row>
    <row r="62" ht="14.25">
      <c r="A62" t="s">
        <v>151</v>
      </c>
    </row>
    <row r="63" ht="14.25">
      <c r="A63" t="s">
        <v>152</v>
      </c>
    </row>
    <row r="64" ht="14.25">
      <c r="A64" t="s">
        <v>153</v>
      </c>
    </row>
    <row r="65" ht="14.25">
      <c r="A65" s="81" t="s">
        <v>200</v>
      </c>
    </row>
    <row r="66" ht="12.75">
      <c r="A66" s="3" t="s">
        <v>155</v>
      </c>
    </row>
    <row r="67" ht="14.25">
      <c r="A67" s="81" t="s">
        <v>156</v>
      </c>
    </row>
    <row r="68" ht="12.75">
      <c r="A68" s="3" t="s">
        <v>155</v>
      </c>
    </row>
    <row r="69" spans="1:6" ht="15.75">
      <c r="A69" s="115" t="s">
        <v>221</v>
      </c>
      <c r="E69" s="19">
        <f>'Coc khoan nhoi trong dat dinh'!B24^2*PI()/4</f>
        <v>0.7853981633974483</v>
      </c>
      <c r="F69" s="3" t="s">
        <v>212</v>
      </c>
    </row>
    <row r="70" spans="1:6" ht="15.75">
      <c r="A70" s="115" t="s">
        <v>222</v>
      </c>
      <c r="E70" s="19">
        <f>PI()*'Coc khoan nhoi trong dat dinh'!B24*('Coc khoan nhoi trong dat dinh'!C24-1.5-'Coc khoan nhoi trong dat dinh'!B24)</f>
        <v>117.80972450961724</v>
      </c>
      <c r="F70" s="3" t="s">
        <v>212</v>
      </c>
    </row>
    <row r="71" ht="12.75">
      <c r="A71" s="158" t="s">
        <v>90</v>
      </c>
    </row>
    <row r="72" spans="1:4" ht="12.75">
      <c r="A72" s="16"/>
      <c r="B72" s="74" t="s">
        <v>92</v>
      </c>
      <c r="C72" s="74" t="s">
        <v>93</v>
      </c>
      <c r="D72" s="74" t="s">
        <v>94</v>
      </c>
    </row>
    <row r="73" spans="1:4" ht="14.25">
      <c r="A73" s="3"/>
      <c r="B73" s="75" t="s">
        <v>198</v>
      </c>
      <c r="C73" s="125">
        <f>C45</f>
        <v>2.907</v>
      </c>
      <c r="D73" s="75" t="s">
        <v>205</v>
      </c>
    </row>
    <row r="74" spans="1:4" ht="14.25">
      <c r="A74" s="3"/>
      <c r="B74" s="76" t="s">
        <v>104</v>
      </c>
      <c r="C74" s="109">
        <f>AVERAGE(D19:D39)</f>
        <v>0.07386666666666665</v>
      </c>
      <c r="D74" s="76" t="s">
        <v>205</v>
      </c>
    </row>
    <row r="75" spans="1:4" ht="14.25">
      <c r="A75" s="3"/>
      <c r="B75" s="98" t="s">
        <v>199</v>
      </c>
      <c r="C75" s="76">
        <f>0.45*0.8</f>
        <v>0.36000000000000004</v>
      </c>
      <c r="D75" s="76"/>
    </row>
    <row r="76" spans="1:4" ht="14.25">
      <c r="A76" s="3"/>
      <c r="B76" s="98" t="s">
        <v>201</v>
      </c>
      <c r="C76" s="76">
        <f>0.45*0.8</f>
        <v>0.36000000000000004</v>
      </c>
      <c r="D76" s="76"/>
    </row>
    <row r="77" spans="1:4" ht="14.25">
      <c r="A77" s="3"/>
      <c r="B77" s="76" t="s">
        <v>197</v>
      </c>
      <c r="C77" s="109">
        <f>C73*E69*1000</f>
        <v>2283.152460996382</v>
      </c>
      <c r="D77" s="76" t="s">
        <v>202</v>
      </c>
    </row>
    <row r="78" spans="1:6" ht="14.25">
      <c r="A78" s="3"/>
      <c r="B78" s="77" t="s">
        <v>133</v>
      </c>
      <c r="C78" s="129">
        <f>C74*E70*1000</f>
        <v>8702.211650443725</v>
      </c>
      <c r="D78" s="77" t="s">
        <v>202</v>
      </c>
      <c r="F78" s="123"/>
    </row>
    <row r="79" spans="1:4" ht="14.25">
      <c r="A79" s="3"/>
      <c r="B79" s="113" t="s">
        <v>213</v>
      </c>
      <c r="C79" s="130">
        <f>C77*C75+C76*C78</f>
        <v>3954.731080118439</v>
      </c>
      <c r="D79" s="113" t="s">
        <v>202</v>
      </c>
    </row>
    <row r="80" spans="1:5" ht="12.75">
      <c r="A80" s="30"/>
      <c r="B80" s="3"/>
      <c r="E80" s="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3"/>
  <sheetViews>
    <sheetView workbookViewId="0" topLeftCell="A54">
      <selection activeCell="F60" sqref="F60"/>
    </sheetView>
  </sheetViews>
  <sheetFormatPr defaultColWidth="9.00390625" defaultRowHeight="12.75"/>
  <cols>
    <col min="3" max="3" width="10.25390625" style="0" bestFit="1" customWidth="1"/>
    <col min="4" max="4" width="11.875" style="0" customWidth="1"/>
  </cols>
  <sheetData>
    <row r="1" spans="1:9" ht="18">
      <c r="A1" s="136" t="s">
        <v>236</v>
      </c>
      <c r="B1" s="137"/>
      <c r="C1" s="137"/>
      <c r="D1" s="137"/>
      <c r="E1" s="137"/>
      <c r="F1" s="137"/>
      <c r="G1" s="137"/>
      <c r="H1" s="137"/>
      <c r="I1" s="137"/>
    </row>
    <row r="2" spans="1:9" ht="18">
      <c r="A2" s="136" t="s">
        <v>248</v>
      </c>
      <c r="B2" s="137"/>
      <c r="C2" s="137"/>
      <c r="D2" s="137"/>
      <c r="E2" s="137"/>
      <c r="F2" s="137"/>
      <c r="G2" s="137"/>
      <c r="H2" s="137"/>
      <c r="I2" s="137"/>
    </row>
    <row r="3" ht="12.75">
      <c r="A3" t="s">
        <v>235</v>
      </c>
    </row>
    <row r="5" ht="15.75">
      <c r="A5" s="86" t="s">
        <v>112</v>
      </c>
    </row>
    <row r="6" ht="15.75">
      <c r="A6" s="139" t="s">
        <v>237</v>
      </c>
    </row>
    <row r="7" ht="12.75">
      <c r="A7" s="30" t="s">
        <v>82</v>
      </c>
    </row>
    <row r="8" ht="12.75">
      <c r="A8" t="s">
        <v>89</v>
      </c>
    </row>
    <row r="12" ht="12.75">
      <c r="A12" t="s">
        <v>109</v>
      </c>
    </row>
    <row r="17" ht="12.75">
      <c r="A17" t="s">
        <v>84</v>
      </c>
    </row>
    <row r="18" ht="14.25">
      <c r="A18" t="s">
        <v>234</v>
      </c>
    </row>
    <row r="19" ht="12.75">
      <c r="A19" t="s">
        <v>85</v>
      </c>
    </row>
    <row r="20" ht="12.75">
      <c r="A20" t="s">
        <v>86</v>
      </c>
    </row>
    <row r="21" ht="14.25">
      <c r="A21" t="s">
        <v>87</v>
      </c>
    </row>
    <row r="22" ht="14.25">
      <c r="A22" t="s">
        <v>88</v>
      </c>
    </row>
    <row r="23" ht="14.25">
      <c r="A23" s="81" t="s">
        <v>106</v>
      </c>
    </row>
    <row r="24" ht="12.75">
      <c r="A24" s="158" t="s">
        <v>90</v>
      </c>
    </row>
    <row r="25" spans="2:4" ht="16.5" customHeight="1">
      <c r="B25" s="73" t="s">
        <v>92</v>
      </c>
      <c r="C25" s="74" t="s">
        <v>93</v>
      </c>
      <c r="D25" s="74" t="s">
        <v>94</v>
      </c>
    </row>
    <row r="26" spans="2:4" ht="14.25">
      <c r="B26" s="75" t="s">
        <v>100</v>
      </c>
      <c r="C26" s="80">
        <f>+C28*0.77*LOG10(1.92/C27)</f>
        <v>18.908721236011694</v>
      </c>
      <c r="D26" s="76" t="s">
        <v>98</v>
      </c>
    </row>
    <row r="27" spans="2:4" ht="14.25">
      <c r="B27" s="79" t="s">
        <v>105</v>
      </c>
      <c r="C27" s="162">
        <v>0.2</v>
      </c>
      <c r="D27" s="76" t="s">
        <v>96</v>
      </c>
    </row>
    <row r="28" spans="2:4" ht="12.75">
      <c r="B28" s="76" t="s">
        <v>91</v>
      </c>
      <c r="C28" s="163">
        <v>25</v>
      </c>
      <c r="D28" s="76" t="s">
        <v>98</v>
      </c>
    </row>
    <row r="29" spans="2:4" ht="12.75">
      <c r="B29" s="76" t="s">
        <v>101</v>
      </c>
      <c r="C29" s="164">
        <v>400</v>
      </c>
      <c r="D29" s="76" t="s">
        <v>95</v>
      </c>
    </row>
    <row r="30" spans="2:4" ht="14.25">
      <c r="B30" s="76" t="s">
        <v>102</v>
      </c>
      <c r="C30" s="163">
        <v>20000</v>
      </c>
      <c r="D30" s="76" t="s">
        <v>95</v>
      </c>
    </row>
    <row r="31" spans="2:4" ht="14.25">
      <c r="B31" s="77" t="s">
        <v>103</v>
      </c>
      <c r="C31" s="165">
        <f>0.4*C26</f>
        <v>7.563488494404678</v>
      </c>
      <c r="D31" s="77" t="s">
        <v>96</v>
      </c>
    </row>
    <row r="32" spans="2:5" ht="14.25">
      <c r="B32" s="78" t="s">
        <v>198</v>
      </c>
      <c r="C32" s="82">
        <f>IF(0.038*C26*C30/C29&gt;C31,C31,0.038*C26*C30/C29)</f>
        <v>7.563488494404678</v>
      </c>
      <c r="D32" s="78" t="s">
        <v>96</v>
      </c>
      <c r="E32" s="83"/>
    </row>
    <row r="33" ht="12.75">
      <c r="A33" s="30" t="s">
        <v>97</v>
      </c>
    </row>
    <row r="34" ht="14.25">
      <c r="A34" t="s">
        <v>110</v>
      </c>
    </row>
    <row r="37" ht="12.75">
      <c r="A37" t="s">
        <v>99</v>
      </c>
    </row>
    <row r="38" spans="3:4" ht="17.25" customHeight="1">
      <c r="C38" s="147">
        <v>40</v>
      </c>
      <c r="D38" t="s">
        <v>98</v>
      </c>
    </row>
    <row r="39" spans="2:4" ht="12.75">
      <c r="B39" s="84" t="s">
        <v>107</v>
      </c>
      <c r="C39" s="72">
        <f>0.0019*C38</f>
        <v>0.076</v>
      </c>
      <c r="D39" t="s">
        <v>96</v>
      </c>
    </row>
    <row r="40" spans="2:3" ht="12.75">
      <c r="B40" s="84"/>
      <c r="C40" s="72"/>
    </row>
    <row r="41" spans="1:3" ht="12.75">
      <c r="A41" s="30" t="s">
        <v>211</v>
      </c>
      <c r="B41" s="84"/>
      <c r="C41" s="72"/>
    </row>
    <row r="42" ht="12.75">
      <c r="A42" t="s">
        <v>144</v>
      </c>
    </row>
    <row r="43" ht="14.25">
      <c r="A43" t="s">
        <v>145</v>
      </c>
    </row>
    <row r="44" ht="14.25">
      <c r="B44" t="s">
        <v>146</v>
      </c>
    </row>
    <row r="45" spans="1:2" ht="14.25">
      <c r="A45" t="s">
        <v>147</v>
      </c>
      <c r="B45" t="s">
        <v>148</v>
      </c>
    </row>
    <row r="47" spans="1:2" ht="14.25">
      <c r="A47" t="s">
        <v>157</v>
      </c>
      <c r="B47" t="s">
        <v>158</v>
      </c>
    </row>
    <row r="48" ht="14.25">
      <c r="B48" t="s">
        <v>159</v>
      </c>
    </row>
    <row r="49" ht="12.75">
      <c r="A49" t="s">
        <v>84</v>
      </c>
    </row>
    <row r="50" ht="14.25">
      <c r="A50" s="81" t="s">
        <v>149</v>
      </c>
    </row>
    <row r="51" ht="14.25">
      <c r="A51" t="s">
        <v>150</v>
      </c>
    </row>
    <row r="52" ht="14.25">
      <c r="A52" t="s">
        <v>151</v>
      </c>
    </row>
    <row r="53" ht="14.25">
      <c r="A53" t="s">
        <v>152</v>
      </c>
    </row>
    <row r="54" ht="14.25">
      <c r="A54" t="s">
        <v>153</v>
      </c>
    </row>
    <row r="55" ht="14.25">
      <c r="A55" s="81" t="s">
        <v>154</v>
      </c>
    </row>
    <row r="56" ht="12.75">
      <c r="A56" s="3" t="s">
        <v>155</v>
      </c>
    </row>
    <row r="57" ht="14.25">
      <c r="A57" s="81" t="s">
        <v>156</v>
      </c>
    </row>
    <row r="58" ht="12.75">
      <c r="A58" s="3" t="s">
        <v>155</v>
      </c>
    </row>
    <row r="59" ht="12.75">
      <c r="A59" s="158" t="s">
        <v>90</v>
      </c>
    </row>
    <row r="60" spans="1:4" ht="19.5" customHeight="1">
      <c r="A60" s="16"/>
      <c r="B60" s="74" t="s">
        <v>92</v>
      </c>
      <c r="C60" s="74" t="s">
        <v>93</v>
      </c>
      <c r="D60" s="74" t="s">
        <v>94</v>
      </c>
    </row>
    <row r="61" spans="1:4" ht="14.25">
      <c r="A61" s="3"/>
      <c r="B61" s="75" t="s">
        <v>198</v>
      </c>
      <c r="C61" s="138">
        <f>C32</f>
        <v>7.563488494404678</v>
      </c>
      <c r="D61" s="75" t="s">
        <v>205</v>
      </c>
    </row>
    <row r="62" spans="1:4" ht="14.25">
      <c r="A62" s="3"/>
      <c r="B62" s="76" t="s">
        <v>104</v>
      </c>
      <c r="C62" s="109">
        <f>C39</f>
        <v>0.076</v>
      </c>
      <c r="D62" s="76" t="s">
        <v>205</v>
      </c>
    </row>
    <row r="63" spans="1:4" ht="14.25">
      <c r="A63" s="3"/>
      <c r="B63" s="98" t="s">
        <v>199</v>
      </c>
      <c r="C63" s="166">
        <f>0.45*0.8</f>
        <v>0.36000000000000004</v>
      </c>
      <c r="D63" s="76"/>
    </row>
    <row r="64" spans="1:4" ht="14.25">
      <c r="A64" s="3"/>
      <c r="B64" s="98" t="s">
        <v>201</v>
      </c>
      <c r="C64" s="166">
        <f>0.45*0.8</f>
        <v>0.36000000000000004</v>
      </c>
      <c r="D64" s="76"/>
    </row>
    <row r="65" spans="1:4" ht="15.75">
      <c r="A65" s="3"/>
      <c r="B65" s="76" t="s">
        <v>232</v>
      </c>
      <c r="C65" s="167">
        <f>(C29/1000)^2</f>
        <v>0.16000000000000003</v>
      </c>
      <c r="D65" s="76" t="s">
        <v>212</v>
      </c>
    </row>
    <row r="66" spans="1:4" ht="15.75">
      <c r="A66" s="3"/>
      <c r="B66" s="98" t="s">
        <v>233</v>
      </c>
      <c r="C66" s="168">
        <f>4*C29/1000*C30/1000</f>
        <v>32</v>
      </c>
      <c r="D66" s="76" t="s">
        <v>212</v>
      </c>
    </row>
    <row r="67" spans="1:4" ht="14.25">
      <c r="A67" s="3"/>
      <c r="B67" s="76" t="s">
        <v>197</v>
      </c>
      <c r="C67" s="109">
        <f>C61*C63*1000*C65</f>
        <v>435.6569372777096</v>
      </c>
      <c r="D67" s="76" t="s">
        <v>202</v>
      </c>
    </row>
    <row r="68" spans="1:4" ht="14.25">
      <c r="A68" s="3"/>
      <c r="B68" s="77" t="s">
        <v>133</v>
      </c>
      <c r="C68" s="129">
        <f>C62*C64*1000*C66</f>
        <v>875.5200000000001</v>
      </c>
      <c r="D68" s="77" t="s">
        <v>202</v>
      </c>
    </row>
    <row r="69" spans="1:4" ht="14.25">
      <c r="A69" s="3"/>
      <c r="B69" s="113" t="s">
        <v>213</v>
      </c>
      <c r="C69" s="130">
        <f>C67*C63+C64*C68</f>
        <v>472.0236974199755</v>
      </c>
      <c r="D69" s="113" t="s">
        <v>202</v>
      </c>
    </row>
    <row r="123" ht="12.75">
      <c r="A123" t="s">
        <v>143</v>
      </c>
    </row>
  </sheetData>
  <printOptions/>
  <pageMargins left="1.1" right="0.55" top="0.75" bottom="0.75" header="0.35" footer="0.35"/>
  <pageSetup horizontalDpi="300" verticalDpi="300" orientation="portrait" paperSize="9" r:id="rId6"/>
  <legacyDrawing r:id="rId5"/>
  <oleObjects>
    <oleObject progId="Equation.3" shapeId="18816" r:id="rId1"/>
    <oleObject progId="Equation.3" shapeId="99144" r:id="rId2"/>
    <oleObject progId="Equation.3" shapeId="110363" r:id="rId3"/>
    <oleObject progId="Equation.3" shapeId="135103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20">
      <selection activeCell="F30" sqref="F30"/>
    </sheetView>
  </sheetViews>
  <sheetFormatPr defaultColWidth="9.00390625" defaultRowHeight="12.75"/>
  <sheetData>
    <row r="1" ht="15.75">
      <c r="A1" s="86" t="s">
        <v>108</v>
      </c>
    </row>
    <row r="2" ht="15.75">
      <c r="A2" s="71" t="s">
        <v>83</v>
      </c>
    </row>
    <row r="3" ht="15.75">
      <c r="A3" s="71"/>
    </row>
    <row r="4" ht="12.75">
      <c r="A4" s="30" t="s">
        <v>82</v>
      </c>
    </row>
    <row r="5" ht="12.75">
      <c r="A5" t="s">
        <v>111</v>
      </c>
    </row>
    <row r="9" spans="1:2" ht="14.25">
      <c r="A9" t="s">
        <v>84</v>
      </c>
      <c r="B9" t="s">
        <v>113</v>
      </c>
    </row>
    <row r="11" spans="2:4" ht="14.25">
      <c r="B11" s="84" t="s">
        <v>114</v>
      </c>
      <c r="C11" s="147">
        <v>20</v>
      </c>
      <c r="D11" t="s">
        <v>96</v>
      </c>
    </row>
    <row r="12" spans="2:4" ht="14.25">
      <c r="B12" s="84" t="s">
        <v>115</v>
      </c>
      <c r="C12" s="147">
        <v>10</v>
      </c>
      <c r="D12" t="s">
        <v>96</v>
      </c>
    </row>
    <row r="13" spans="2:4" ht="14.25">
      <c r="B13" s="84" t="s">
        <v>116</v>
      </c>
      <c r="C13" s="72">
        <f>+C12/2+C11/2</f>
        <v>15</v>
      </c>
      <c r="D13" t="s">
        <v>96</v>
      </c>
    </row>
    <row r="14" ht="12.75">
      <c r="A14" t="s">
        <v>97</v>
      </c>
    </row>
    <row r="15" ht="12.75">
      <c r="A15" t="s">
        <v>117</v>
      </c>
    </row>
    <row r="20" ht="12.75">
      <c r="A20" t="s">
        <v>84</v>
      </c>
    </row>
    <row r="21" ht="14.25">
      <c r="A21" t="s">
        <v>118</v>
      </c>
    </row>
    <row r="22" ht="14.25">
      <c r="A22" t="s">
        <v>120</v>
      </c>
    </row>
    <row r="23" ht="12.75">
      <c r="A23" t="s">
        <v>119</v>
      </c>
    </row>
    <row r="24" ht="14.25">
      <c r="A24" t="s">
        <v>121</v>
      </c>
    </row>
    <row r="25" ht="14.25">
      <c r="A25" t="s">
        <v>122</v>
      </c>
    </row>
    <row r="26" ht="14.25">
      <c r="A26" t="s">
        <v>123</v>
      </c>
    </row>
    <row r="27" ht="14.25">
      <c r="A27" t="s">
        <v>124</v>
      </c>
    </row>
    <row r="28" ht="14.25">
      <c r="A28" t="s">
        <v>125</v>
      </c>
    </row>
    <row r="29" ht="12.75">
      <c r="A29" s="158" t="s">
        <v>90</v>
      </c>
    </row>
    <row r="30" spans="2:4" ht="18.75" customHeight="1">
      <c r="B30" s="74" t="s">
        <v>92</v>
      </c>
      <c r="C30" s="74" t="s">
        <v>93</v>
      </c>
      <c r="D30" s="74" t="s">
        <v>94</v>
      </c>
    </row>
    <row r="31" spans="2:4" ht="14.25">
      <c r="B31" s="75" t="s">
        <v>126</v>
      </c>
      <c r="C31" s="169">
        <v>0.45</v>
      </c>
      <c r="D31" s="75"/>
    </row>
    <row r="32" spans="2:4" ht="14.25">
      <c r="B32" s="76" t="s">
        <v>127</v>
      </c>
      <c r="C32" s="166">
        <v>20000</v>
      </c>
      <c r="D32" s="76" t="s">
        <v>95</v>
      </c>
    </row>
    <row r="33" spans="2:4" ht="12.75">
      <c r="B33" s="76" t="s">
        <v>101</v>
      </c>
      <c r="C33" s="166">
        <v>400</v>
      </c>
      <c r="D33" s="76" t="s">
        <v>95</v>
      </c>
    </row>
    <row r="34" spans="2:4" ht="14.25">
      <c r="B34" s="76" t="s">
        <v>128</v>
      </c>
      <c r="C34" s="166">
        <v>50</v>
      </c>
      <c r="D34" s="76" t="s">
        <v>96</v>
      </c>
    </row>
    <row r="35" spans="2:4" ht="14.25">
      <c r="B35" s="76" t="s">
        <v>129</v>
      </c>
      <c r="C35" s="166">
        <f>4*C33</f>
        <v>1600</v>
      </c>
      <c r="D35" s="76" t="s">
        <v>95</v>
      </c>
    </row>
    <row r="36" spans="2:4" ht="14.25">
      <c r="B36" s="76" t="s">
        <v>130</v>
      </c>
      <c r="C36" s="166">
        <v>200</v>
      </c>
      <c r="D36" s="76" t="s">
        <v>95</v>
      </c>
    </row>
    <row r="37" spans="2:4" ht="14.25">
      <c r="B37" s="76" t="s">
        <v>131</v>
      </c>
      <c r="C37" s="166">
        <v>10</v>
      </c>
      <c r="D37" s="76" t="s">
        <v>238</v>
      </c>
    </row>
    <row r="38" spans="2:4" ht="14.25">
      <c r="B38" s="77" t="s">
        <v>132</v>
      </c>
      <c r="C38" s="170">
        <v>10</v>
      </c>
      <c r="D38" s="77" t="s">
        <v>238</v>
      </c>
    </row>
    <row r="39" spans="2:4" ht="14.25">
      <c r="B39" s="78" t="s">
        <v>133</v>
      </c>
      <c r="C39" s="78"/>
      <c r="D39" s="78" t="s">
        <v>202</v>
      </c>
    </row>
  </sheetData>
  <printOptions/>
  <pageMargins left="0.75" right="0.75" top="1" bottom="1" header="0.5" footer="0.5"/>
  <pageSetup orientation="portrait" paperSize="9"/>
  <legacyDrawing r:id="rId3"/>
  <oleObjects>
    <oleObject progId="Equation.3" shapeId="531463" r:id="rId1"/>
    <oleObject progId="Equation.3" shapeId="531465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G9" sqref="G9"/>
    </sheetView>
  </sheetViews>
  <sheetFormatPr defaultColWidth="9.00390625" defaultRowHeight="12.75"/>
  <sheetData>
    <row r="1" ht="15.75">
      <c r="A1" s="86" t="s">
        <v>239</v>
      </c>
    </row>
    <row r="2" ht="15.75">
      <c r="A2" s="86"/>
    </row>
    <row r="3" ht="12.75">
      <c r="A3" s="30" t="s">
        <v>134</v>
      </c>
    </row>
    <row r="4" ht="14.25">
      <c r="C4" t="s">
        <v>135</v>
      </c>
    </row>
    <row r="5" ht="14.25">
      <c r="A5" t="s">
        <v>136</v>
      </c>
    </row>
    <row r="6" ht="14.25">
      <c r="A6" s="81" t="s">
        <v>137</v>
      </c>
    </row>
    <row r="8" ht="12.75">
      <c r="A8" s="30" t="s">
        <v>138</v>
      </c>
    </row>
    <row r="9" ht="14.25">
      <c r="C9" t="s">
        <v>139</v>
      </c>
    </row>
    <row r="10" ht="14.25">
      <c r="A10" t="s">
        <v>140</v>
      </c>
    </row>
    <row r="11" ht="14.25">
      <c r="A11" s="81" t="s">
        <v>141</v>
      </c>
    </row>
    <row r="12" ht="15.75">
      <c r="B12" t="s">
        <v>142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Kayak</dc:creator>
  <cp:keywords/>
  <dc:description/>
  <cp:lastModifiedBy>VNN.R9</cp:lastModifiedBy>
  <cp:lastPrinted>2002-12-24T10:03:16Z</cp:lastPrinted>
  <dcterms:created xsi:type="dcterms:W3CDTF">2002-10-01T06:17:56Z</dcterms:created>
  <dcterms:modified xsi:type="dcterms:W3CDTF">2006-01-01T02:52:15Z</dcterms:modified>
  <cp:category/>
  <cp:version/>
  <cp:contentType/>
  <cp:contentStatus/>
</cp:coreProperties>
</file>